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A\Team Stab\Team Info\regjeringen.no\Regjeringen.no 2015\Rapporter\"/>
    </mc:Choice>
  </mc:AlternateContent>
  <bookViews>
    <workbookView xWindow="720" yWindow="435" windowWidth="19440" windowHeight="9720" activeTab="1"/>
  </bookViews>
  <sheets>
    <sheet name="Rådata-K" sheetId="1" r:id="rId1"/>
    <sheet name="Arbeidsark-K" sheetId="3" r:id="rId2"/>
    <sheet name="Vekter" sheetId="4" r:id="rId3"/>
  </sheets>
  <calcPr calcId="152511" iterate="1" iterateCount="31000"/>
</workbook>
</file>

<file path=xl/calcChain.xml><?xml version="1.0" encoding="utf-8"?>
<calcChain xmlns="http://schemas.openxmlformats.org/spreadsheetml/2006/main">
  <c r="AL4" i="3" l="1"/>
  <c r="AL5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77" i="3"/>
  <c r="AL78" i="3"/>
  <c r="AL79" i="3"/>
  <c r="AL80" i="3"/>
  <c r="AL81" i="3"/>
  <c r="AL82" i="3"/>
  <c r="AL83" i="3"/>
  <c r="AL84" i="3"/>
  <c r="AL85" i="3"/>
  <c r="AL86" i="3"/>
  <c r="AL87" i="3"/>
  <c r="AL88" i="3"/>
  <c r="AL89" i="3"/>
  <c r="AL90" i="3"/>
  <c r="AL91" i="3"/>
  <c r="AL92" i="3"/>
  <c r="AL93" i="3"/>
  <c r="AL94" i="3"/>
  <c r="AL95" i="3"/>
  <c r="AL96" i="3"/>
  <c r="AL97" i="3"/>
  <c r="AL98" i="3"/>
  <c r="AL99" i="3"/>
  <c r="AL100" i="3"/>
  <c r="AL101" i="3"/>
  <c r="AL102" i="3"/>
  <c r="AL103" i="3"/>
  <c r="AL104" i="3"/>
  <c r="AL105" i="3"/>
  <c r="AL106" i="3"/>
  <c r="AL107" i="3"/>
  <c r="AL108" i="3"/>
  <c r="AL109" i="3"/>
  <c r="AL110" i="3"/>
  <c r="AL111" i="3"/>
  <c r="AL112" i="3"/>
  <c r="AL113" i="3"/>
  <c r="AL114" i="3"/>
  <c r="AL115" i="3"/>
  <c r="AL116" i="3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34" i="3"/>
  <c r="AL135" i="3"/>
  <c r="AL136" i="3"/>
  <c r="AL137" i="3"/>
  <c r="AL138" i="3"/>
  <c r="AL139" i="3"/>
  <c r="AL140" i="3"/>
  <c r="AL141" i="3"/>
  <c r="AL142" i="3"/>
  <c r="AL143" i="3"/>
  <c r="AL144" i="3"/>
  <c r="AL145" i="3"/>
  <c r="AL146" i="3"/>
  <c r="AL147" i="3"/>
  <c r="AL148" i="3"/>
  <c r="AL149" i="3"/>
  <c r="AL150" i="3"/>
  <c r="AL151" i="3"/>
  <c r="AL152" i="3"/>
  <c r="AL153" i="3"/>
  <c r="AL154" i="3"/>
  <c r="AL155" i="3"/>
  <c r="AL156" i="3"/>
  <c r="AL157" i="3"/>
  <c r="AL158" i="3"/>
  <c r="AL159" i="3"/>
  <c r="AL160" i="3"/>
  <c r="AL161" i="3"/>
  <c r="AL162" i="3"/>
  <c r="AL163" i="3"/>
  <c r="AL164" i="3"/>
  <c r="AL165" i="3"/>
  <c r="AL166" i="3"/>
  <c r="AL167" i="3"/>
  <c r="AL168" i="3"/>
  <c r="AL169" i="3"/>
  <c r="AL170" i="3"/>
  <c r="AL171" i="3"/>
  <c r="AL172" i="3"/>
  <c r="AL173" i="3"/>
  <c r="AL174" i="3"/>
  <c r="AL175" i="3"/>
  <c r="AL176" i="3"/>
  <c r="AL177" i="3"/>
  <c r="AL178" i="3"/>
  <c r="AL179" i="3"/>
  <c r="AL180" i="3"/>
  <c r="AL181" i="3"/>
  <c r="AL182" i="3"/>
  <c r="AL183" i="3"/>
  <c r="AL184" i="3"/>
  <c r="AL185" i="3"/>
  <c r="AL186" i="3"/>
  <c r="AL187" i="3"/>
  <c r="AL188" i="3"/>
  <c r="AL189" i="3"/>
  <c r="AL190" i="3"/>
  <c r="AL191" i="3"/>
  <c r="AL192" i="3"/>
  <c r="AL193" i="3"/>
  <c r="AL194" i="3"/>
  <c r="AL195" i="3"/>
  <c r="AL196" i="3"/>
  <c r="AL197" i="3"/>
  <c r="AL198" i="3"/>
  <c r="AL199" i="3"/>
  <c r="AL200" i="3"/>
  <c r="AL201" i="3"/>
  <c r="AL202" i="3"/>
  <c r="AL203" i="3"/>
  <c r="AL204" i="3"/>
  <c r="AL205" i="3"/>
  <c r="AL206" i="3"/>
  <c r="AL207" i="3"/>
  <c r="AL208" i="3"/>
  <c r="AL209" i="3"/>
  <c r="AL210" i="3"/>
  <c r="AL211" i="3"/>
  <c r="AL212" i="3"/>
  <c r="AL213" i="3"/>
  <c r="AL214" i="3"/>
  <c r="AL215" i="3"/>
  <c r="AL216" i="3"/>
  <c r="AL217" i="3"/>
  <c r="AL218" i="3"/>
  <c r="AL219" i="3"/>
  <c r="AL220" i="3"/>
  <c r="AL221" i="3"/>
  <c r="AL222" i="3"/>
  <c r="AL223" i="3"/>
  <c r="AL224" i="3"/>
  <c r="AL225" i="3"/>
  <c r="AL226" i="3"/>
  <c r="AL227" i="3"/>
  <c r="AL228" i="3"/>
  <c r="AL229" i="3"/>
  <c r="AL230" i="3"/>
  <c r="AL231" i="3"/>
  <c r="AL232" i="3"/>
  <c r="AL233" i="3"/>
  <c r="AL234" i="3"/>
  <c r="AL235" i="3"/>
  <c r="AL236" i="3"/>
  <c r="AL237" i="3"/>
  <c r="AL238" i="3"/>
  <c r="AL239" i="3"/>
  <c r="AL240" i="3"/>
  <c r="AL241" i="3"/>
  <c r="AL242" i="3"/>
  <c r="AL243" i="3"/>
  <c r="AL244" i="3"/>
  <c r="AL245" i="3"/>
  <c r="AL246" i="3"/>
  <c r="AL247" i="3"/>
  <c r="AL248" i="3"/>
  <c r="AL249" i="3"/>
  <c r="AL250" i="3"/>
  <c r="AL251" i="3"/>
  <c r="AL252" i="3"/>
  <c r="AL253" i="3"/>
  <c r="AL254" i="3"/>
  <c r="AL255" i="3"/>
  <c r="AL256" i="3"/>
  <c r="AL257" i="3"/>
  <c r="AL258" i="3"/>
  <c r="AL259" i="3"/>
  <c r="AL260" i="3"/>
  <c r="AL261" i="3"/>
  <c r="AL262" i="3"/>
  <c r="AL263" i="3"/>
  <c r="AL264" i="3"/>
  <c r="AL265" i="3"/>
  <c r="AL266" i="3"/>
  <c r="AL267" i="3"/>
  <c r="AL268" i="3"/>
  <c r="AL269" i="3"/>
  <c r="AL270" i="3"/>
  <c r="AL271" i="3"/>
  <c r="AL272" i="3"/>
  <c r="AL273" i="3"/>
  <c r="AL274" i="3"/>
  <c r="AL275" i="3"/>
  <c r="AL276" i="3"/>
  <c r="AL277" i="3"/>
  <c r="AL278" i="3"/>
  <c r="AL279" i="3"/>
  <c r="AL280" i="3"/>
  <c r="AL281" i="3"/>
  <c r="AL282" i="3"/>
  <c r="AL283" i="3"/>
  <c r="AL284" i="3"/>
  <c r="AL285" i="3"/>
  <c r="AL286" i="3"/>
  <c r="AL287" i="3"/>
  <c r="AL288" i="3"/>
  <c r="AL289" i="3"/>
  <c r="AL290" i="3"/>
  <c r="AL291" i="3"/>
  <c r="AL292" i="3"/>
  <c r="AL293" i="3"/>
  <c r="AL294" i="3"/>
  <c r="AL295" i="3"/>
  <c r="AL296" i="3"/>
  <c r="AL297" i="3"/>
  <c r="AL298" i="3"/>
  <c r="AL299" i="3"/>
  <c r="AL300" i="3"/>
  <c r="AL301" i="3"/>
  <c r="AL302" i="3"/>
  <c r="AL303" i="3"/>
  <c r="AL304" i="3"/>
  <c r="AL305" i="3"/>
  <c r="AL306" i="3"/>
  <c r="AL307" i="3"/>
  <c r="AL308" i="3"/>
  <c r="AL309" i="3"/>
  <c r="AL310" i="3"/>
  <c r="AL311" i="3"/>
  <c r="AL312" i="3"/>
  <c r="AL313" i="3"/>
  <c r="AL314" i="3"/>
  <c r="AL315" i="3"/>
  <c r="AL316" i="3"/>
  <c r="AL317" i="3"/>
  <c r="AL318" i="3"/>
  <c r="AL319" i="3"/>
  <c r="AL320" i="3"/>
  <c r="AL321" i="3"/>
  <c r="AL322" i="3"/>
  <c r="AL323" i="3"/>
  <c r="AL324" i="3"/>
  <c r="AL325" i="3"/>
  <c r="AL326" i="3"/>
  <c r="AL327" i="3"/>
  <c r="AL328" i="3"/>
  <c r="AL329" i="3"/>
  <c r="AL330" i="3"/>
  <c r="AL331" i="3"/>
  <c r="AL332" i="3"/>
  <c r="AL333" i="3"/>
  <c r="AL334" i="3"/>
  <c r="AL335" i="3"/>
  <c r="AL336" i="3"/>
  <c r="AL337" i="3"/>
  <c r="AL338" i="3"/>
  <c r="AL339" i="3"/>
  <c r="AL340" i="3"/>
  <c r="AL341" i="3"/>
  <c r="AL342" i="3"/>
  <c r="AL343" i="3"/>
  <c r="AL344" i="3"/>
  <c r="AL345" i="3"/>
  <c r="AL346" i="3"/>
  <c r="AL347" i="3"/>
  <c r="AL348" i="3"/>
  <c r="AL349" i="3"/>
  <c r="AL350" i="3"/>
  <c r="AL351" i="3"/>
  <c r="AL352" i="3"/>
  <c r="AL353" i="3"/>
  <c r="AL354" i="3"/>
  <c r="AL355" i="3"/>
  <c r="AL356" i="3"/>
  <c r="AL357" i="3"/>
  <c r="AL358" i="3"/>
  <c r="AL359" i="3"/>
  <c r="AL360" i="3"/>
  <c r="AL361" i="3"/>
  <c r="AL362" i="3"/>
  <c r="AL363" i="3"/>
  <c r="AL364" i="3"/>
  <c r="AL365" i="3"/>
  <c r="AL366" i="3"/>
  <c r="AL367" i="3"/>
  <c r="AL368" i="3"/>
  <c r="AL369" i="3"/>
  <c r="AL370" i="3"/>
  <c r="AL371" i="3"/>
  <c r="AL372" i="3"/>
  <c r="AL373" i="3"/>
  <c r="AL374" i="3"/>
  <c r="AL375" i="3"/>
  <c r="AL376" i="3"/>
  <c r="AL377" i="3"/>
  <c r="AL378" i="3"/>
  <c r="AL379" i="3"/>
  <c r="AL380" i="3"/>
  <c r="AL381" i="3"/>
  <c r="AL382" i="3"/>
  <c r="AL383" i="3"/>
  <c r="AL384" i="3"/>
  <c r="AL385" i="3"/>
  <c r="AL386" i="3"/>
  <c r="AL387" i="3"/>
  <c r="AL388" i="3"/>
  <c r="AL389" i="3"/>
  <c r="AL390" i="3"/>
  <c r="AL391" i="3"/>
  <c r="AL392" i="3"/>
  <c r="AL393" i="3"/>
  <c r="AL394" i="3"/>
  <c r="AL395" i="3"/>
  <c r="AL396" i="3"/>
  <c r="AL397" i="3"/>
  <c r="AL398" i="3"/>
  <c r="AL399" i="3"/>
  <c r="AL400" i="3"/>
  <c r="AL401" i="3"/>
  <c r="AL402" i="3"/>
  <c r="AL403" i="3"/>
  <c r="AL404" i="3"/>
  <c r="AL405" i="3"/>
  <c r="AL406" i="3"/>
  <c r="AL407" i="3"/>
  <c r="AL408" i="3"/>
  <c r="AL409" i="3"/>
  <c r="AL410" i="3"/>
  <c r="AL411" i="3"/>
  <c r="AL412" i="3"/>
  <c r="AL413" i="3"/>
  <c r="AL414" i="3"/>
  <c r="AL415" i="3"/>
  <c r="AL416" i="3"/>
  <c r="AL417" i="3"/>
  <c r="AL418" i="3"/>
  <c r="AL419" i="3"/>
  <c r="AL420" i="3"/>
  <c r="AL421" i="3"/>
  <c r="AL422" i="3"/>
  <c r="AL423" i="3"/>
  <c r="AL424" i="3"/>
  <c r="AL425" i="3"/>
  <c r="AL426" i="3"/>
  <c r="AL427" i="3"/>
  <c r="AL428" i="3"/>
  <c r="AL429" i="3"/>
  <c r="AL430" i="3"/>
  <c r="AL431" i="3"/>
  <c r="AK4" i="3"/>
  <c r="AK5" i="3"/>
  <c r="AK6" i="3"/>
  <c r="AK7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77" i="3"/>
  <c r="AK178" i="3"/>
  <c r="AK179" i="3"/>
  <c r="AK180" i="3"/>
  <c r="AK181" i="3"/>
  <c r="AK182" i="3"/>
  <c r="AK183" i="3"/>
  <c r="AK184" i="3"/>
  <c r="AK185" i="3"/>
  <c r="AK186" i="3"/>
  <c r="AK187" i="3"/>
  <c r="AK188" i="3"/>
  <c r="AK189" i="3"/>
  <c r="AK190" i="3"/>
  <c r="AK191" i="3"/>
  <c r="AK192" i="3"/>
  <c r="AK193" i="3"/>
  <c r="AK194" i="3"/>
  <c r="AK195" i="3"/>
  <c r="AK196" i="3"/>
  <c r="AK197" i="3"/>
  <c r="AK198" i="3"/>
  <c r="AK199" i="3"/>
  <c r="AK200" i="3"/>
  <c r="AK201" i="3"/>
  <c r="AK202" i="3"/>
  <c r="AK203" i="3"/>
  <c r="AK204" i="3"/>
  <c r="AK205" i="3"/>
  <c r="AK206" i="3"/>
  <c r="AK207" i="3"/>
  <c r="AK208" i="3"/>
  <c r="AK209" i="3"/>
  <c r="AK210" i="3"/>
  <c r="AK211" i="3"/>
  <c r="AK212" i="3"/>
  <c r="AK213" i="3"/>
  <c r="AK214" i="3"/>
  <c r="AK215" i="3"/>
  <c r="AK216" i="3"/>
  <c r="AK217" i="3"/>
  <c r="AK218" i="3"/>
  <c r="AK219" i="3"/>
  <c r="AK220" i="3"/>
  <c r="AK221" i="3"/>
  <c r="AK222" i="3"/>
  <c r="AK223" i="3"/>
  <c r="AK224" i="3"/>
  <c r="AK225" i="3"/>
  <c r="AK226" i="3"/>
  <c r="AK227" i="3"/>
  <c r="AK228" i="3"/>
  <c r="AK229" i="3"/>
  <c r="AK230" i="3"/>
  <c r="AK231" i="3"/>
  <c r="AK232" i="3"/>
  <c r="AK233" i="3"/>
  <c r="AK234" i="3"/>
  <c r="AK235" i="3"/>
  <c r="AK236" i="3"/>
  <c r="AK237" i="3"/>
  <c r="AK238" i="3"/>
  <c r="AK239" i="3"/>
  <c r="AK240" i="3"/>
  <c r="AK241" i="3"/>
  <c r="AK242" i="3"/>
  <c r="AK243" i="3"/>
  <c r="AK244" i="3"/>
  <c r="AK245" i="3"/>
  <c r="AK246" i="3"/>
  <c r="AK247" i="3"/>
  <c r="AK248" i="3"/>
  <c r="AK249" i="3"/>
  <c r="AK250" i="3"/>
  <c r="AK251" i="3"/>
  <c r="AK252" i="3"/>
  <c r="AK253" i="3"/>
  <c r="AK254" i="3"/>
  <c r="AK255" i="3"/>
  <c r="AK256" i="3"/>
  <c r="AK257" i="3"/>
  <c r="AK258" i="3"/>
  <c r="AK259" i="3"/>
  <c r="AK260" i="3"/>
  <c r="AK261" i="3"/>
  <c r="AK262" i="3"/>
  <c r="AK263" i="3"/>
  <c r="AK264" i="3"/>
  <c r="AK265" i="3"/>
  <c r="AK266" i="3"/>
  <c r="AK267" i="3"/>
  <c r="AK268" i="3"/>
  <c r="AK269" i="3"/>
  <c r="AK270" i="3"/>
  <c r="AK271" i="3"/>
  <c r="AK272" i="3"/>
  <c r="AK273" i="3"/>
  <c r="AK274" i="3"/>
  <c r="AK275" i="3"/>
  <c r="AK276" i="3"/>
  <c r="AK277" i="3"/>
  <c r="AK278" i="3"/>
  <c r="AK279" i="3"/>
  <c r="AK280" i="3"/>
  <c r="AK281" i="3"/>
  <c r="AK282" i="3"/>
  <c r="AK283" i="3"/>
  <c r="AK284" i="3"/>
  <c r="AK285" i="3"/>
  <c r="AK286" i="3"/>
  <c r="AK287" i="3"/>
  <c r="AK288" i="3"/>
  <c r="AK289" i="3"/>
  <c r="AK290" i="3"/>
  <c r="AK291" i="3"/>
  <c r="AK292" i="3"/>
  <c r="AK293" i="3"/>
  <c r="AK294" i="3"/>
  <c r="AK295" i="3"/>
  <c r="AK296" i="3"/>
  <c r="AK297" i="3"/>
  <c r="AK298" i="3"/>
  <c r="AK299" i="3"/>
  <c r="AK300" i="3"/>
  <c r="AK301" i="3"/>
  <c r="AK302" i="3"/>
  <c r="AK303" i="3"/>
  <c r="AK304" i="3"/>
  <c r="AK305" i="3"/>
  <c r="AK306" i="3"/>
  <c r="AK307" i="3"/>
  <c r="AK308" i="3"/>
  <c r="AK309" i="3"/>
  <c r="AK310" i="3"/>
  <c r="AK311" i="3"/>
  <c r="AK312" i="3"/>
  <c r="AK313" i="3"/>
  <c r="AK314" i="3"/>
  <c r="AK315" i="3"/>
  <c r="AK316" i="3"/>
  <c r="AK317" i="3"/>
  <c r="AK318" i="3"/>
  <c r="AK319" i="3"/>
  <c r="AK320" i="3"/>
  <c r="AK321" i="3"/>
  <c r="AK322" i="3"/>
  <c r="AK323" i="3"/>
  <c r="AK324" i="3"/>
  <c r="AK325" i="3"/>
  <c r="AK326" i="3"/>
  <c r="AK327" i="3"/>
  <c r="AK328" i="3"/>
  <c r="AK329" i="3"/>
  <c r="AK330" i="3"/>
  <c r="AK331" i="3"/>
  <c r="AK332" i="3"/>
  <c r="AK333" i="3"/>
  <c r="AK334" i="3"/>
  <c r="AK335" i="3"/>
  <c r="AK336" i="3"/>
  <c r="AK337" i="3"/>
  <c r="AK338" i="3"/>
  <c r="AK339" i="3"/>
  <c r="AK340" i="3"/>
  <c r="AK341" i="3"/>
  <c r="AK342" i="3"/>
  <c r="AK343" i="3"/>
  <c r="AK344" i="3"/>
  <c r="AK345" i="3"/>
  <c r="AK346" i="3"/>
  <c r="AK347" i="3"/>
  <c r="AK348" i="3"/>
  <c r="AK349" i="3"/>
  <c r="AK350" i="3"/>
  <c r="AK351" i="3"/>
  <c r="AK352" i="3"/>
  <c r="AK353" i="3"/>
  <c r="AK354" i="3"/>
  <c r="AK355" i="3"/>
  <c r="AK356" i="3"/>
  <c r="AK357" i="3"/>
  <c r="AK358" i="3"/>
  <c r="AK359" i="3"/>
  <c r="AK360" i="3"/>
  <c r="AK361" i="3"/>
  <c r="AK362" i="3"/>
  <c r="AK363" i="3"/>
  <c r="AK364" i="3"/>
  <c r="AK365" i="3"/>
  <c r="AK366" i="3"/>
  <c r="AK367" i="3"/>
  <c r="AK368" i="3"/>
  <c r="AK369" i="3"/>
  <c r="AK370" i="3"/>
  <c r="AK371" i="3"/>
  <c r="AK372" i="3"/>
  <c r="AK373" i="3"/>
  <c r="AK374" i="3"/>
  <c r="AK375" i="3"/>
  <c r="AK376" i="3"/>
  <c r="AK377" i="3"/>
  <c r="AK378" i="3"/>
  <c r="AK379" i="3"/>
  <c r="AK380" i="3"/>
  <c r="AK381" i="3"/>
  <c r="AK382" i="3"/>
  <c r="AK383" i="3"/>
  <c r="AK384" i="3"/>
  <c r="AK385" i="3"/>
  <c r="AK386" i="3"/>
  <c r="AK387" i="3"/>
  <c r="AK388" i="3"/>
  <c r="AK389" i="3"/>
  <c r="AK390" i="3"/>
  <c r="AK391" i="3"/>
  <c r="AK392" i="3"/>
  <c r="AK393" i="3"/>
  <c r="AK394" i="3"/>
  <c r="AK395" i="3"/>
  <c r="AK396" i="3"/>
  <c r="AK397" i="3"/>
  <c r="AK398" i="3"/>
  <c r="AK399" i="3"/>
  <c r="AK400" i="3"/>
  <c r="AK401" i="3"/>
  <c r="AK402" i="3"/>
  <c r="AK403" i="3"/>
  <c r="AK404" i="3"/>
  <c r="AK405" i="3"/>
  <c r="AK406" i="3"/>
  <c r="AK407" i="3"/>
  <c r="AK408" i="3"/>
  <c r="AK409" i="3"/>
  <c r="AK410" i="3"/>
  <c r="AK411" i="3"/>
  <c r="AK412" i="3"/>
  <c r="AK413" i="3"/>
  <c r="AK414" i="3"/>
  <c r="AK415" i="3"/>
  <c r="AK416" i="3"/>
  <c r="AK417" i="3"/>
  <c r="AK418" i="3"/>
  <c r="AK419" i="3"/>
  <c r="AK420" i="3"/>
  <c r="AK421" i="3"/>
  <c r="AK422" i="3"/>
  <c r="AK423" i="3"/>
  <c r="AK424" i="3"/>
  <c r="AK425" i="3"/>
  <c r="AK426" i="3"/>
  <c r="AK427" i="3"/>
  <c r="AK428" i="3"/>
  <c r="AK429" i="3"/>
  <c r="AK430" i="3"/>
  <c r="AK431" i="3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J179" i="3"/>
  <c r="AJ180" i="3"/>
  <c r="AJ181" i="3"/>
  <c r="AJ182" i="3"/>
  <c r="AJ183" i="3"/>
  <c r="AJ184" i="3"/>
  <c r="AJ185" i="3"/>
  <c r="AJ186" i="3"/>
  <c r="AJ187" i="3"/>
  <c r="AJ188" i="3"/>
  <c r="AJ189" i="3"/>
  <c r="AJ190" i="3"/>
  <c r="AJ191" i="3"/>
  <c r="AJ192" i="3"/>
  <c r="AJ193" i="3"/>
  <c r="AJ194" i="3"/>
  <c r="AJ195" i="3"/>
  <c r="AJ196" i="3"/>
  <c r="AJ197" i="3"/>
  <c r="AJ198" i="3"/>
  <c r="AJ199" i="3"/>
  <c r="AJ200" i="3"/>
  <c r="AJ201" i="3"/>
  <c r="AJ202" i="3"/>
  <c r="AJ203" i="3"/>
  <c r="AJ204" i="3"/>
  <c r="AJ205" i="3"/>
  <c r="AJ206" i="3"/>
  <c r="AJ207" i="3"/>
  <c r="AJ208" i="3"/>
  <c r="AJ209" i="3"/>
  <c r="AJ210" i="3"/>
  <c r="AJ211" i="3"/>
  <c r="AJ212" i="3"/>
  <c r="AJ213" i="3"/>
  <c r="AJ214" i="3"/>
  <c r="AJ215" i="3"/>
  <c r="AJ216" i="3"/>
  <c r="AJ217" i="3"/>
  <c r="AJ218" i="3"/>
  <c r="AJ219" i="3"/>
  <c r="AJ220" i="3"/>
  <c r="AJ221" i="3"/>
  <c r="AJ222" i="3"/>
  <c r="AJ223" i="3"/>
  <c r="AJ224" i="3"/>
  <c r="AJ225" i="3"/>
  <c r="AJ226" i="3"/>
  <c r="AJ227" i="3"/>
  <c r="AJ228" i="3"/>
  <c r="AJ229" i="3"/>
  <c r="AJ230" i="3"/>
  <c r="AJ231" i="3"/>
  <c r="AJ232" i="3"/>
  <c r="AJ233" i="3"/>
  <c r="AJ234" i="3"/>
  <c r="AJ235" i="3"/>
  <c r="AJ236" i="3"/>
  <c r="AJ237" i="3"/>
  <c r="AJ238" i="3"/>
  <c r="AJ239" i="3"/>
  <c r="AJ240" i="3"/>
  <c r="AJ241" i="3"/>
  <c r="AJ242" i="3"/>
  <c r="AJ243" i="3"/>
  <c r="AJ244" i="3"/>
  <c r="AJ245" i="3"/>
  <c r="AJ246" i="3"/>
  <c r="AJ247" i="3"/>
  <c r="AJ248" i="3"/>
  <c r="AJ249" i="3"/>
  <c r="AJ250" i="3"/>
  <c r="AJ251" i="3"/>
  <c r="AJ252" i="3"/>
  <c r="AJ253" i="3"/>
  <c r="AJ254" i="3"/>
  <c r="AJ255" i="3"/>
  <c r="AJ256" i="3"/>
  <c r="AJ257" i="3"/>
  <c r="AJ258" i="3"/>
  <c r="AJ259" i="3"/>
  <c r="AJ260" i="3"/>
  <c r="AJ261" i="3"/>
  <c r="AJ262" i="3"/>
  <c r="AJ263" i="3"/>
  <c r="AJ264" i="3"/>
  <c r="AJ265" i="3"/>
  <c r="AJ266" i="3"/>
  <c r="AJ267" i="3"/>
  <c r="AJ268" i="3"/>
  <c r="AJ269" i="3"/>
  <c r="AJ270" i="3"/>
  <c r="AJ271" i="3"/>
  <c r="AJ272" i="3"/>
  <c r="AJ273" i="3"/>
  <c r="AJ274" i="3"/>
  <c r="AJ275" i="3"/>
  <c r="AJ276" i="3"/>
  <c r="AJ277" i="3"/>
  <c r="AJ278" i="3"/>
  <c r="AJ279" i="3"/>
  <c r="AJ280" i="3"/>
  <c r="AJ281" i="3"/>
  <c r="AJ282" i="3"/>
  <c r="AJ283" i="3"/>
  <c r="AJ284" i="3"/>
  <c r="AJ285" i="3"/>
  <c r="AJ286" i="3"/>
  <c r="AJ287" i="3"/>
  <c r="AJ288" i="3"/>
  <c r="AJ289" i="3"/>
  <c r="AJ290" i="3"/>
  <c r="AJ291" i="3"/>
  <c r="AJ292" i="3"/>
  <c r="AJ293" i="3"/>
  <c r="AJ294" i="3"/>
  <c r="AJ295" i="3"/>
  <c r="AJ296" i="3"/>
  <c r="AJ297" i="3"/>
  <c r="AJ298" i="3"/>
  <c r="AJ299" i="3"/>
  <c r="AJ300" i="3"/>
  <c r="AJ301" i="3"/>
  <c r="AJ302" i="3"/>
  <c r="AJ303" i="3"/>
  <c r="AJ304" i="3"/>
  <c r="AJ305" i="3"/>
  <c r="AJ306" i="3"/>
  <c r="AJ307" i="3"/>
  <c r="AJ308" i="3"/>
  <c r="AJ309" i="3"/>
  <c r="AJ310" i="3"/>
  <c r="AJ311" i="3"/>
  <c r="AJ312" i="3"/>
  <c r="AJ313" i="3"/>
  <c r="AJ314" i="3"/>
  <c r="AJ315" i="3"/>
  <c r="AJ316" i="3"/>
  <c r="AJ317" i="3"/>
  <c r="AJ318" i="3"/>
  <c r="AJ319" i="3"/>
  <c r="AJ320" i="3"/>
  <c r="AJ321" i="3"/>
  <c r="AJ322" i="3"/>
  <c r="AJ323" i="3"/>
  <c r="AJ324" i="3"/>
  <c r="AJ325" i="3"/>
  <c r="AJ326" i="3"/>
  <c r="AJ327" i="3"/>
  <c r="AJ328" i="3"/>
  <c r="AJ329" i="3"/>
  <c r="AJ330" i="3"/>
  <c r="AJ331" i="3"/>
  <c r="AJ332" i="3"/>
  <c r="AJ333" i="3"/>
  <c r="AJ334" i="3"/>
  <c r="AJ335" i="3"/>
  <c r="AJ336" i="3"/>
  <c r="AJ337" i="3"/>
  <c r="AJ338" i="3"/>
  <c r="AJ339" i="3"/>
  <c r="AJ340" i="3"/>
  <c r="AJ341" i="3"/>
  <c r="AJ342" i="3"/>
  <c r="AJ343" i="3"/>
  <c r="AJ344" i="3"/>
  <c r="AJ345" i="3"/>
  <c r="AJ346" i="3"/>
  <c r="AJ347" i="3"/>
  <c r="AJ348" i="3"/>
  <c r="AJ349" i="3"/>
  <c r="AJ350" i="3"/>
  <c r="AJ351" i="3"/>
  <c r="AJ352" i="3"/>
  <c r="AJ353" i="3"/>
  <c r="AJ354" i="3"/>
  <c r="AJ355" i="3"/>
  <c r="AJ356" i="3"/>
  <c r="AJ357" i="3"/>
  <c r="AJ358" i="3"/>
  <c r="AJ359" i="3"/>
  <c r="AJ360" i="3"/>
  <c r="AJ361" i="3"/>
  <c r="AJ362" i="3"/>
  <c r="AJ363" i="3"/>
  <c r="AJ364" i="3"/>
  <c r="AJ365" i="3"/>
  <c r="AJ366" i="3"/>
  <c r="AJ367" i="3"/>
  <c r="AJ368" i="3"/>
  <c r="AJ369" i="3"/>
  <c r="AJ370" i="3"/>
  <c r="AJ371" i="3"/>
  <c r="AJ372" i="3"/>
  <c r="AJ373" i="3"/>
  <c r="AJ374" i="3"/>
  <c r="AJ375" i="3"/>
  <c r="AJ376" i="3"/>
  <c r="AJ377" i="3"/>
  <c r="AJ378" i="3"/>
  <c r="AJ379" i="3"/>
  <c r="AJ380" i="3"/>
  <c r="AJ381" i="3"/>
  <c r="AJ382" i="3"/>
  <c r="AJ383" i="3"/>
  <c r="AJ384" i="3"/>
  <c r="AJ385" i="3"/>
  <c r="AJ386" i="3"/>
  <c r="AJ387" i="3"/>
  <c r="AJ388" i="3"/>
  <c r="AJ389" i="3"/>
  <c r="AJ390" i="3"/>
  <c r="AJ391" i="3"/>
  <c r="AJ392" i="3"/>
  <c r="AJ393" i="3"/>
  <c r="AJ394" i="3"/>
  <c r="AJ395" i="3"/>
  <c r="AJ396" i="3"/>
  <c r="AJ397" i="3"/>
  <c r="AJ398" i="3"/>
  <c r="AJ399" i="3"/>
  <c r="AJ400" i="3"/>
  <c r="AJ401" i="3"/>
  <c r="AJ402" i="3"/>
  <c r="AJ403" i="3"/>
  <c r="AJ404" i="3"/>
  <c r="AJ405" i="3"/>
  <c r="AJ406" i="3"/>
  <c r="AJ407" i="3"/>
  <c r="AJ408" i="3"/>
  <c r="AJ409" i="3"/>
  <c r="AJ410" i="3"/>
  <c r="AJ411" i="3"/>
  <c r="AJ412" i="3"/>
  <c r="AJ413" i="3"/>
  <c r="AJ414" i="3"/>
  <c r="AJ415" i="3"/>
  <c r="AJ416" i="3"/>
  <c r="AJ417" i="3"/>
  <c r="AJ418" i="3"/>
  <c r="AJ419" i="3"/>
  <c r="AJ420" i="3"/>
  <c r="AJ421" i="3"/>
  <c r="AJ422" i="3"/>
  <c r="AJ423" i="3"/>
  <c r="AJ424" i="3"/>
  <c r="AJ425" i="3"/>
  <c r="AJ426" i="3"/>
  <c r="AJ427" i="3"/>
  <c r="AJ428" i="3"/>
  <c r="AJ429" i="3"/>
  <c r="AJ430" i="3"/>
  <c r="AJ431" i="3"/>
  <c r="AI4" i="3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I179" i="3"/>
  <c r="AI180" i="3"/>
  <c r="AI181" i="3"/>
  <c r="AI182" i="3"/>
  <c r="AI183" i="3"/>
  <c r="AI184" i="3"/>
  <c r="AI185" i="3"/>
  <c r="AI186" i="3"/>
  <c r="AI187" i="3"/>
  <c r="AI188" i="3"/>
  <c r="AI189" i="3"/>
  <c r="AI190" i="3"/>
  <c r="AI191" i="3"/>
  <c r="AI192" i="3"/>
  <c r="AI193" i="3"/>
  <c r="AI194" i="3"/>
  <c r="AI195" i="3"/>
  <c r="AI196" i="3"/>
  <c r="AI197" i="3"/>
  <c r="AI198" i="3"/>
  <c r="AI199" i="3"/>
  <c r="AI200" i="3"/>
  <c r="AI201" i="3"/>
  <c r="AI202" i="3"/>
  <c r="AI203" i="3"/>
  <c r="AI204" i="3"/>
  <c r="AI205" i="3"/>
  <c r="AI206" i="3"/>
  <c r="AI207" i="3"/>
  <c r="AI208" i="3"/>
  <c r="AI209" i="3"/>
  <c r="AI210" i="3"/>
  <c r="AI211" i="3"/>
  <c r="AI212" i="3"/>
  <c r="AI213" i="3"/>
  <c r="AI214" i="3"/>
  <c r="AI215" i="3"/>
  <c r="AI216" i="3"/>
  <c r="AI217" i="3"/>
  <c r="AI218" i="3"/>
  <c r="AI219" i="3"/>
  <c r="AI220" i="3"/>
  <c r="AI221" i="3"/>
  <c r="AI222" i="3"/>
  <c r="AI223" i="3"/>
  <c r="AI224" i="3"/>
  <c r="AI225" i="3"/>
  <c r="AI226" i="3"/>
  <c r="AI227" i="3"/>
  <c r="AI228" i="3"/>
  <c r="AI229" i="3"/>
  <c r="AI230" i="3"/>
  <c r="AI231" i="3"/>
  <c r="AI232" i="3"/>
  <c r="AI233" i="3"/>
  <c r="AI234" i="3"/>
  <c r="AI235" i="3"/>
  <c r="AI236" i="3"/>
  <c r="AI237" i="3"/>
  <c r="AI238" i="3"/>
  <c r="AI239" i="3"/>
  <c r="AI240" i="3"/>
  <c r="AI241" i="3"/>
  <c r="AI242" i="3"/>
  <c r="AI243" i="3"/>
  <c r="AI244" i="3"/>
  <c r="AI245" i="3"/>
  <c r="AI246" i="3"/>
  <c r="AI247" i="3"/>
  <c r="AI248" i="3"/>
  <c r="AI249" i="3"/>
  <c r="AI250" i="3"/>
  <c r="AI251" i="3"/>
  <c r="AI252" i="3"/>
  <c r="AI253" i="3"/>
  <c r="AI254" i="3"/>
  <c r="AI255" i="3"/>
  <c r="AI256" i="3"/>
  <c r="AI257" i="3"/>
  <c r="AI258" i="3"/>
  <c r="AI259" i="3"/>
  <c r="AI260" i="3"/>
  <c r="AI261" i="3"/>
  <c r="AI262" i="3"/>
  <c r="AI263" i="3"/>
  <c r="AI264" i="3"/>
  <c r="AI265" i="3"/>
  <c r="AI266" i="3"/>
  <c r="AI267" i="3"/>
  <c r="AI268" i="3"/>
  <c r="AI269" i="3"/>
  <c r="AI270" i="3"/>
  <c r="AI271" i="3"/>
  <c r="AI272" i="3"/>
  <c r="AI273" i="3"/>
  <c r="AI274" i="3"/>
  <c r="AI275" i="3"/>
  <c r="AI276" i="3"/>
  <c r="AI277" i="3"/>
  <c r="AI278" i="3"/>
  <c r="AI279" i="3"/>
  <c r="AI280" i="3"/>
  <c r="AI281" i="3"/>
  <c r="AI282" i="3"/>
  <c r="AI283" i="3"/>
  <c r="AI284" i="3"/>
  <c r="AI285" i="3"/>
  <c r="AI286" i="3"/>
  <c r="AI287" i="3"/>
  <c r="AI288" i="3"/>
  <c r="AI289" i="3"/>
  <c r="AI290" i="3"/>
  <c r="AI291" i="3"/>
  <c r="AI292" i="3"/>
  <c r="AI293" i="3"/>
  <c r="AI294" i="3"/>
  <c r="AI295" i="3"/>
  <c r="AI296" i="3"/>
  <c r="AI297" i="3"/>
  <c r="AI298" i="3"/>
  <c r="AI299" i="3"/>
  <c r="AI300" i="3"/>
  <c r="AI301" i="3"/>
  <c r="AI302" i="3"/>
  <c r="AI303" i="3"/>
  <c r="AI304" i="3"/>
  <c r="AI305" i="3"/>
  <c r="AI306" i="3"/>
  <c r="AI307" i="3"/>
  <c r="AI308" i="3"/>
  <c r="AI309" i="3"/>
  <c r="AI310" i="3"/>
  <c r="AI311" i="3"/>
  <c r="AI312" i="3"/>
  <c r="AI313" i="3"/>
  <c r="AI314" i="3"/>
  <c r="AI315" i="3"/>
  <c r="AI316" i="3"/>
  <c r="AI317" i="3"/>
  <c r="AI318" i="3"/>
  <c r="AI319" i="3"/>
  <c r="AI320" i="3"/>
  <c r="AI321" i="3"/>
  <c r="AI322" i="3"/>
  <c r="AI323" i="3"/>
  <c r="AI324" i="3"/>
  <c r="AI325" i="3"/>
  <c r="AI326" i="3"/>
  <c r="AI327" i="3"/>
  <c r="AI328" i="3"/>
  <c r="AI329" i="3"/>
  <c r="AI330" i="3"/>
  <c r="AI331" i="3"/>
  <c r="AI332" i="3"/>
  <c r="AI333" i="3"/>
  <c r="AI334" i="3"/>
  <c r="AI335" i="3"/>
  <c r="AI336" i="3"/>
  <c r="AI337" i="3"/>
  <c r="AI338" i="3"/>
  <c r="AI339" i="3"/>
  <c r="AI340" i="3"/>
  <c r="AI341" i="3"/>
  <c r="AI342" i="3"/>
  <c r="AI343" i="3"/>
  <c r="AI344" i="3"/>
  <c r="AI345" i="3"/>
  <c r="AI346" i="3"/>
  <c r="AI347" i="3"/>
  <c r="AI348" i="3"/>
  <c r="AI349" i="3"/>
  <c r="AI350" i="3"/>
  <c r="AI351" i="3"/>
  <c r="AI352" i="3"/>
  <c r="AI353" i="3"/>
  <c r="AI354" i="3"/>
  <c r="AI355" i="3"/>
  <c r="AI356" i="3"/>
  <c r="AI357" i="3"/>
  <c r="AI358" i="3"/>
  <c r="AI359" i="3"/>
  <c r="AI360" i="3"/>
  <c r="AI361" i="3"/>
  <c r="AI362" i="3"/>
  <c r="AI363" i="3"/>
  <c r="AI364" i="3"/>
  <c r="AI365" i="3"/>
  <c r="AI366" i="3"/>
  <c r="AI367" i="3"/>
  <c r="AI368" i="3"/>
  <c r="AI369" i="3"/>
  <c r="AI370" i="3"/>
  <c r="AI371" i="3"/>
  <c r="AI372" i="3"/>
  <c r="AI373" i="3"/>
  <c r="AI374" i="3"/>
  <c r="AI375" i="3"/>
  <c r="AI376" i="3"/>
  <c r="AI377" i="3"/>
  <c r="AI378" i="3"/>
  <c r="AI379" i="3"/>
  <c r="AI380" i="3"/>
  <c r="AI381" i="3"/>
  <c r="AI382" i="3"/>
  <c r="AI383" i="3"/>
  <c r="AI384" i="3"/>
  <c r="AI385" i="3"/>
  <c r="AI386" i="3"/>
  <c r="AI387" i="3"/>
  <c r="AI388" i="3"/>
  <c r="AI389" i="3"/>
  <c r="AI390" i="3"/>
  <c r="AI391" i="3"/>
  <c r="AI392" i="3"/>
  <c r="AI393" i="3"/>
  <c r="AI394" i="3"/>
  <c r="AI395" i="3"/>
  <c r="AI396" i="3"/>
  <c r="AI397" i="3"/>
  <c r="AI398" i="3"/>
  <c r="AI399" i="3"/>
  <c r="AI400" i="3"/>
  <c r="AI401" i="3"/>
  <c r="AI402" i="3"/>
  <c r="AI403" i="3"/>
  <c r="AI404" i="3"/>
  <c r="AI405" i="3"/>
  <c r="AI406" i="3"/>
  <c r="AI407" i="3"/>
  <c r="AI408" i="3"/>
  <c r="AI409" i="3"/>
  <c r="AI410" i="3"/>
  <c r="AI411" i="3"/>
  <c r="AI412" i="3"/>
  <c r="AI413" i="3"/>
  <c r="AI414" i="3"/>
  <c r="AI415" i="3"/>
  <c r="AI416" i="3"/>
  <c r="AI417" i="3"/>
  <c r="AI418" i="3"/>
  <c r="AI419" i="3"/>
  <c r="AI420" i="3"/>
  <c r="AI421" i="3"/>
  <c r="AI422" i="3"/>
  <c r="AI423" i="3"/>
  <c r="AI424" i="3"/>
  <c r="AI425" i="3"/>
  <c r="AI426" i="3"/>
  <c r="AI427" i="3"/>
  <c r="AI428" i="3"/>
  <c r="AI429" i="3"/>
  <c r="AI430" i="3"/>
  <c r="AI431" i="3"/>
  <c r="AH4" i="3"/>
  <c r="AH5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108" i="3"/>
  <c r="AH109" i="3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AH130" i="3"/>
  <c r="AH131" i="3"/>
  <c r="AH132" i="3"/>
  <c r="AH133" i="3"/>
  <c r="AH134" i="3"/>
  <c r="AH135" i="3"/>
  <c r="AH136" i="3"/>
  <c r="AH137" i="3"/>
  <c r="AH138" i="3"/>
  <c r="AH139" i="3"/>
  <c r="AH140" i="3"/>
  <c r="AH141" i="3"/>
  <c r="AH142" i="3"/>
  <c r="AH143" i="3"/>
  <c r="AH144" i="3"/>
  <c r="AH145" i="3"/>
  <c r="AH146" i="3"/>
  <c r="AH147" i="3"/>
  <c r="AH148" i="3"/>
  <c r="AH149" i="3"/>
  <c r="AH150" i="3"/>
  <c r="AH151" i="3"/>
  <c r="AH152" i="3"/>
  <c r="AH153" i="3"/>
  <c r="AH154" i="3"/>
  <c r="AH155" i="3"/>
  <c r="AH156" i="3"/>
  <c r="AH157" i="3"/>
  <c r="AH158" i="3"/>
  <c r="AH159" i="3"/>
  <c r="AH160" i="3"/>
  <c r="AH161" i="3"/>
  <c r="AH162" i="3"/>
  <c r="AH163" i="3"/>
  <c r="AH164" i="3"/>
  <c r="AH165" i="3"/>
  <c r="AH166" i="3"/>
  <c r="AH167" i="3"/>
  <c r="AH168" i="3"/>
  <c r="AH169" i="3"/>
  <c r="AH170" i="3"/>
  <c r="AH171" i="3"/>
  <c r="AH172" i="3"/>
  <c r="AH173" i="3"/>
  <c r="AH174" i="3"/>
  <c r="AH175" i="3"/>
  <c r="AH176" i="3"/>
  <c r="AH177" i="3"/>
  <c r="AH178" i="3"/>
  <c r="AH179" i="3"/>
  <c r="AH180" i="3"/>
  <c r="AH181" i="3"/>
  <c r="AH182" i="3"/>
  <c r="AH183" i="3"/>
  <c r="AH184" i="3"/>
  <c r="AH185" i="3"/>
  <c r="AH186" i="3"/>
  <c r="AH187" i="3"/>
  <c r="AH188" i="3"/>
  <c r="AH189" i="3"/>
  <c r="AH190" i="3"/>
  <c r="AH191" i="3"/>
  <c r="AH192" i="3"/>
  <c r="AH193" i="3"/>
  <c r="AH194" i="3"/>
  <c r="AH195" i="3"/>
  <c r="AH196" i="3"/>
  <c r="AH197" i="3"/>
  <c r="AH198" i="3"/>
  <c r="AH199" i="3"/>
  <c r="AH200" i="3"/>
  <c r="AH201" i="3"/>
  <c r="AH202" i="3"/>
  <c r="AH203" i="3"/>
  <c r="AH204" i="3"/>
  <c r="AH205" i="3"/>
  <c r="AH206" i="3"/>
  <c r="AH207" i="3"/>
  <c r="AH208" i="3"/>
  <c r="AH209" i="3"/>
  <c r="AH210" i="3"/>
  <c r="AH211" i="3"/>
  <c r="AH212" i="3"/>
  <c r="AH213" i="3"/>
  <c r="AH214" i="3"/>
  <c r="AH215" i="3"/>
  <c r="AH216" i="3"/>
  <c r="AH217" i="3"/>
  <c r="AH218" i="3"/>
  <c r="AH219" i="3"/>
  <c r="AH220" i="3"/>
  <c r="AH221" i="3"/>
  <c r="AH222" i="3"/>
  <c r="AH223" i="3"/>
  <c r="AH224" i="3"/>
  <c r="AH225" i="3"/>
  <c r="AH226" i="3"/>
  <c r="AH227" i="3"/>
  <c r="AH228" i="3"/>
  <c r="AH229" i="3"/>
  <c r="AH230" i="3"/>
  <c r="AH231" i="3"/>
  <c r="AH232" i="3"/>
  <c r="AH233" i="3"/>
  <c r="AH234" i="3"/>
  <c r="AH235" i="3"/>
  <c r="AH236" i="3"/>
  <c r="AH237" i="3"/>
  <c r="AH238" i="3"/>
  <c r="AH239" i="3"/>
  <c r="AH240" i="3"/>
  <c r="AH241" i="3"/>
  <c r="AH242" i="3"/>
  <c r="AH243" i="3"/>
  <c r="AH244" i="3"/>
  <c r="AH245" i="3"/>
  <c r="AH246" i="3"/>
  <c r="AH247" i="3"/>
  <c r="AH248" i="3"/>
  <c r="AH249" i="3"/>
  <c r="AH250" i="3"/>
  <c r="AH251" i="3"/>
  <c r="AH252" i="3"/>
  <c r="AH253" i="3"/>
  <c r="AH254" i="3"/>
  <c r="AH255" i="3"/>
  <c r="AH256" i="3"/>
  <c r="AH257" i="3"/>
  <c r="AH258" i="3"/>
  <c r="AH259" i="3"/>
  <c r="AH260" i="3"/>
  <c r="AH261" i="3"/>
  <c r="AH262" i="3"/>
  <c r="AH263" i="3"/>
  <c r="AH264" i="3"/>
  <c r="AH265" i="3"/>
  <c r="AH266" i="3"/>
  <c r="AH267" i="3"/>
  <c r="AH268" i="3"/>
  <c r="AH269" i="3"/>
  <c r="AH270" i="3"/>
  <c r="AH271" i="3"/>
  <c r="AH272" i="3"/>
  <c r="AH273" i="3"/>
  <c r="AH274" i="3"/>
  <c r="AH275" i="3"/>
  <c r="AH276" i="3"/>
  <c r="AH277" i="3"/>
  <c r="AH278" i="3"/>
  <c r="AH279" i="3"/>
  <c r="AH280" i="3"/>
  <c r="AH281" i="3"/>
  <c r="AH282" i="3"/>
  <c r="AH283" i="3"/>
  <c r="AH284" i="3"/>
  <c r="AH285" i="3"/>
  <c r="AH286" i="3"/>
  <c r="AH287" i="3"/>
  <c r="AH288" i="3"/>
  <c r="AH289" i="3"/>
  <c r="AH290" i="3"/>
  <c r="AH291" i="3"/>
  <c r="AH292" i="3"/>
  <c r="AH293" i="3"/>
  <c r="AH294" i="3"/>
  <c r="AH295" i="3"/>
  <c r="AH296" i="3"/>
  <c r="AH297" i="3"/>
  <c r="AH298" i="3"/>
  <c r="AH299" i="3"/>
  <c r="AH300" i="3"/>
  <c r="AH301" i="3"/>
  <c r="AH302" i="3"/>
  <c r="AH303" i="3"/>
  <c r="AH304" i="3"/>
  <c r="AH305" i="3"/>
  <c r="AH306" i="3"/>
  <c r="AH307" i="3"/>
  <c r="AH308" i="3"/>
  <c r="AH309" i="3"/>
  <c r="AH310" i="3"/>
  <c r="AH311" i="3"/>
  <c r="AH312" i="3"/>
  <c r="AH313" i="3"/>
  <c r="AH314" i="3"/>
  <c r="AH315" i="3"/>
  <c r="AH316" i="3"/>
  <c r="AH317" i="3"/>
  <c r="AH318" i="3"/>
  <c r="AH319" i="3"/>
  <c r="AH320" i="3"/>
  <c r="AH321" i="3"/>
  <c r="AH322" i="3"/>
  <c r="AH323" i="3"/>
  <c r="AH324" i="3"/>
  <c r="AH325" i="3"/>
  <c r="AH326" i="3"/>
  <c r="AH327" i="3"/>
  <c r="AH328" i="3"/>
  <c r="AH329" i="3"/>
  <c r="AH330" i="3"/>
  <c r="AH331" i="3"/>
  <c r="AH332" i="3"/>
  <c r="AH333" i="3"/>
  <c r="AH334" i="3"/>
  <c r="AH335" i="3"/>
  <c r="AH336" i="3"/>
  <c r="AH337" i="3"/>
  <c r="AH338" i="3"/>
  <c r="AH339" i="3"/>
  <c r="AH340" i="3"/>
  <c r="AH341" i="3"/>
  <c r="AH342" i="3"/>
  <c r="AH343" i="3"/>
  <c r="AH344" i="3"/>
  <c r="AH345" i="3"/>
  <c r="AH346" i="3"/>
  <c r="AH347" i="3"/>
  <c r="AH348" i="3"/>
  <c r="AH349" i="3"/>
  <c r="AH350" i="3"/>
  <c r="AH351" i="3"/>
  <c r="AH352" i="3"/>
  <c r="AH353" i="3"/>
  <c r="AH354" i="3"/>
  <c r="AH355" i="3"/>
  <c r="AH356" i="3"/>
  <c r="AH357" i="3"/>
  <c r="AH358" i="3"/>
  <c r="AH359" i="3"/>
  <c r="AH360" i="3"/>
  <c r="AH361" i="3"/>
  <c r="AH362" i="3"/>
  <c r="AH363" i="3"/>
  <c r="AH364" i="3"/>
  <c r="AH365" i="3"/>
  <c r="AH366" i="3"/>
  <c r="AH367" i="3"/>
  <c r="AH368" i="3"/>
  <c r="AH369" i="3"/>
  <c r="AH370" i="3"/>
  <c r="AH371" i="3"/>
  <c r="AH372" i="3"/>
  <c r="AH373" i="3"/>
  <c r="AH374" i="3"/>
  <c r="AH375" i="3"/>
  <c r="AH376" i="3"/>
  <c r="AH377" i="3"/>
  <c r="AH378" i="3"/>
  <c r="AH379" i="3"/>
  <c r="AH380" i="3"/>
  <c r="AH381" i="3"/>
  <c r="AH382" i="3"/>
  <c r="AH383" i="3"/>
  <c r="AH384" i="3"/>
  <c r="AH385" i="3"/>
  <c r="AH386" i="3"/>
  <c r="AH387" i="3"/>
  <c r="AH388" i="3"/>
  <c r="AH389" i="3"/>
  <c r="AH390" i="3"/>
  <c r="AH391" i="3"/>
  <c r="AH392" i="3"/>
  <c r="AH393" i="3"/>
  <c r="AH394" i="3"/>
  <c r="AH395" i="3"/>
  <c r="AH396" i="3"/>
  <c r="AH397" i="3"/>
  <c r="AH398" i="3"/>
  <c r="AH399" i="3"/>
  <c r="AH400" i="3"/>
  <c r="AH401" i="3"/>
  <c r="AH402" i="3"/>
  <c r="AH403" i="3"/>
  <c r="AH404" i="3"/>
  <c r="AH405" i="3"/>
  <c r="AH406" i="3"/>
  <c r="AH407" i="3"/>
  <c r="AH408" i="3"/>
  <c r="AH409" i="3"/>
  <c r="AH410" i="3"/>
  <c r="AH411" i="3"/>
  <c r="AH412" i="3"/>
  <c r="AH413" i="3"/>
  <c r="AH414" i="3"/>
  <c r="AH415" i="3"/>
  <c r="AH416" i="3"/>
  <c r="AH417" i="3"/>
  <c r="AH418" i="3"/>
  <c r="AH419" i="3"/>
  <c r="AH420" i="3"/>
  <c r="AH421" i="3"/>
  <c r="AH422" i="3"/>
  <c r="AH423" i="3"/>
  <c r="AH424" i="3"/>
  <c r="AH425" i="3"/>
  <c r="AH426" i="3"/>
  <c r="AH427" i="3"/>
  <c r="AH428" i="3"/>
  <c r="AH429" i="3"/>
  <c r="AH430" i="3"/>
  <c r="AH431" i="3"/>
  <c r="AG4" i="3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AG134" i="3"/>
  <c r="AG135" i="3"/>
  <c r="AG136" i="3"/>
  <c r="AG137" i="3"/>
  <c r="AG138" i="3"/>
  <c r="AG139" i="3"/>
  <c r="AG140" i="3"/>
  <c r="AG141" i="3"/>
  <c r="AG142" i="3"/>
  <c r="AG143" i="3"/>
  <c r="AG144" i="3"/>
  <c r="AG145" i="3"/>
  <c r="AG146" i="3"/>
  <c r="AG147" i="3"/>
  <c r="AG148" i="3"/>
  <c r="AG149" i="3"/>
  <c r="AG150" i="3"/>
  <c r="AG151" i="3"/>
  <c r="AG152" i="3"/>
  <c r="AG153" i="3"/>
  <c r="AG154" i="3"/>
  <c r="AG155" i="3"/>
  <c r="AG156" i="3"/>
  <c r="AG157" i="3"/>
  <c r="AG158" i="3"/>
  <c r="AG159" i="3"/>
  <c r="AG160" i="3"/>
  <c r="AG161" i="3"/>
  <c r="AG162" i="3"/>
  <c r="AG163" i="3"/>
  <c r="AG164" i="3"/>
  <c r="AG165" i="3"/>
  <c r="AG166" i="3"/>
  <c r="AG167" i="3"/>
  <c r="AG168" i="3"/>
  <c r="AG169" i="3"/>
  <c r="AG170" i="3"/>
  <c r="AG171" i="3"/>
  <c r="AG172" i="3"/>
  <c r="AG173" i="3"/>
  <c r="AG174" i="3"/>
  <c r="AG175" i="3"/>
  <c r="AG176" i="3"/>
  <c r="AG177" i="3"/>
  <c r="AG178" i="3"/>
  <c r="AG179" i="3"/>
  <c r="AG180" i="3"/>
  <c r="AG181" i="3"/>
  <c r="AG182" i="3"/>
  <c r="AG183" i="3"/>
  <c r="AG184" i="3"/>
  <c r="AG185" i="3"/>
  <c r="AG186" i="3"/>
  <c r="AG187" i="3"/>
  <c r="AG188" i="3"/>
  <c r="AG189" i="3"/>
  <c r="AG190" i="3"/>
  <c r="AG191" i="3"/>
  <c r="AG192" i="3"/>
  <c r="AG193" i="3"/>
  <c r="AG194" i="3"/>
  <c r="AG195" i="3"/>
  <c r="AG196" i="3"/>
  <c r="AG197" i="3"/>
  <c r="AG198" i="3"/>
  <c r="AG199" i="3"/>
  <c r="AG200" i="3"/>
  <c r="AG201" i="3"/>
  <c r="AG202" i="3"/>
  <c r="AG203" i="3"/>
  <c r="AG204" i="3"/>
  <c r="AG205" i="3"/>
  <c r="AG206" i="3"/>
  <c r="AG207" i="3"/>
  <c r="AG208" i="3"/>
  <c r="AG209" i="3"/>
  <c r="AG210" i="3"/>
  <c r="AG211" i="3"/>
  <c r="AG212" i="3"/>
  <c r="AG213" i="3"/>
  <c r="AG214" i="3"/>
  <c r="AG215" i="3"/>
  <c r="AG216" i="3"/>
  <c r="AG217" i="3"/>
  <c r="AG218" i="3"/>
  <c r="AG219" i="3"/>
  <c r="AG220" i="3"/>
  <c r="AG221" i="3"/>
  <c r="AG222" i="3"/>
  <c r="AG223" i="3"/>
  <c r="AG224" i="3"/>
  <c r="AG225" i="3"/>
  <c r="AG226" i="3"/>
  <c r="AG227" i="3"/>
  <c r="AG228" i="3"/>
  <c r="AG229" i="3"/>
  <c r="AG230" i="3"/>
  <c r="AG231" i="3"/>
  <c r="AG232" i="3"/>
  <c r="AG233" i="3"/>
  <c r="AG234" i="3"/>
  <c r="AG235" i="3"/>
  <c r="AG236" i="3"/>
  <c r="AG237" i="3"/>
  <c r="AG238" i="3"/>
  <c r="AG239" i="3"/>
  <c r="AG240" i="3"/>
  <c r="AG241" i="3"/>
  <c r="AG242" i="3"/>
  <c r="AG243" i="3"/>
  <c r="AG244" i="3"/>
  <c r="AG245" i="3"/>
  <c r="AG246" i="3"/>
  <c r="AG247" i="3"/>
  <c r="AG248" i="3"/>
  <c r="AG249" i="3"/>
  <c r="AG250" i="3"/>
  <c r="AG251" i="3"/>
  <c r="AG252" i="3"/>
  <c r="AG253" i="3"/>
  <c r="AG254" i="3"/>
  <c r="AG255" i="3"/>
  <c r="AG256" i="3"/>
  <c r="AG257" i="3"/>
  <c r="AG258" i="3"/>
  <c r="AG259" i="3"/>
  <c r="AG260" i="3"/>
  <c r="AG261" i="3"/>
  <c r="AG262" i="3"/>
  <c r="AG263" i="3"/>
  <c r="AG264" i="3"/>
  <c r="AG265" i="3"/>
  <c r="AG266" i="3"/>
  <c r="AG267" i="3"/>
  <c r="AG268" i="3"/>
  <c r="AG269" i="3"/>
  <c r="AG270" i="3"/>
  <c r="AG271" i="3"/>
  <c r="AG272" i="3"/>
  <c r="AG273" i="3"/>
  <c r="AG274" i="3"/>
  <c r="AG275" i="3"/>
  <c r="AG276" i="3"/>
  <c r="AG277" i="3"/>
  <c r="AG278" i="3"/>
  <c r="AG279" i="3"/>
  <c r="AG280" i="3"/>
  <c r="AG281" i="3"/>
  <c r="AG282" i="3"/>
  <c r="AG283" i="3"/>
  <c r="AG284" i="3"/>
  <c r="AG285" i="3"/>
  <c r="AG286" i="3"/>
  <c r="AG287" i="3"/>
  <c r="AG288" i="3"/>
  <c r="AG289" i="3"/>
  <c r="AG290" i="3"/>
  <c r="AG291" i="3"/>
  <c r="AG292" i="3"/>
  <c r="AG293" i="3"/>
  <c r="AG294" i="3"/>
  <c r="AG295" i="3"/>
  <c r="AG296" i="3"/>
  <c r="AG297" i="3"/>
  <c r="AG298" i="3"/>
  <c r="AG299" i="3"/>
  <c r="AG300" i="3"/>
  <c r="AG301" i="3"/>
  <c r="AG302" i="3"/>
  <c r="AG303" i="3"/>
  <c r="AG304" i="3"/>
  <c r="AG305" i="3"/>
  <c r="AG306" i="3"/>
  <c r="AG307" i="3"/>
  <c r="AG308" i="3"/>
  <c r="AG309" i="3"/>
  <c r="AG310" i="3"/>
  <c r="AG311" i="3"/>
  <c r="AG312" i="3"/>
  <c r="AG313" i="3"/>
  <c r="AG314" i="3"/>
  <c r="AG315" i="3"/>
  <c r="AG316" i="3"/>
  <c r="AG317" i="3"/>
  <c r="AG318" i="3"/>
  <c r="AG319" i="3"/>
  <c r="AG320" i="3"/>
  <c r="AG321" i="3"/>
  <c r="AG322" i="3"/>
  <c r="AG323" i="3"/>
  <c r="AG324" i="3"/>
  <c r="AG325" i="3"/>
  <c r="AG326" i="3"/>
  <c r="AG327" i="3"/>
  <c r="AG328" i="3"/>
  <c r="AG329" i="3"/>
  <c r="AG330" i="3"/>
  <c r="AG331" i="3"/>
  <c r="AG332" i="3"/>
  <c r="AG333" i="3"/>
  <c r="AG334" i="3"/>
  <c r="AG335" i="3"/>
  <c r="AG336" i="3"/>
  <c r="AG337" i="3"/>
  <c r="AG338" i="3"/>
  <c r="AG339" i="3"/>
  <c r="AG340" i="3"/>
  <c r="AG341" i="3"/>
  <c r="AG342" i="3"/>
  <c r="AG343" i="3"/>
  <c r="AG344" i="3"/>
  <c r="AG345" i="3"/>
  <c r="AG346" i="3"/>
  <c r="AG347" i="3"/>
  <c r="AG348" i="3"/>
  <c r="AG349" i="3"/>
  <c r="AG350" i="3"/>
  <c r="AG351" i="3"/>
  <c r="AG352" i="3"/>
  <c r="AG353" i="3"/>
  <c r="AG354" i="3"/>
  <c r="AG355" i="3"/>
  <c r="AG356" i="3"/>
  <c r="AG357" i="3"/>
  <c r="AG358" i="3"/>
  <c r="AG359" i="3"/>
  <c r="AG360" i="3"/>
  <c r="AG361" i="3"/>
  <c r="AG362" i="3"/>
  <c r="AG363" i="3"/>
  <c r="AG364" i="3"/>
  <c r="AG365" i="3"/>
  <c r="AG366" i="3"/>
  <c r="AG367" i="3"/>
  <c r="AG368" i="3"/>
  <c r="AG369" i="3"/>
  <c r="AG370" i="3"/>
  <c r="AG371" i="3"/>
  <c r="AG372" i="3"/>
  <c r="AG373" i="3"/>
  <c r="AG374" i="3"/>
  <c r="AG375" i="3"/>
  <c r="AG376" i="3"/>
  <c r="AG377" i="3"/>
  <c r="AG378" i="3"/>
  <c r="AG379" i="3"/>
  <c r="AG380" i="3"/>
  <c r="AG381" i="3"/>
  <c r="AG382" i="3"/>
  <c r="AG383" i="3"/>
  <c r="AG384" i="3"/>
  <c r="AG385" i="3"/>
  <c r="AG386" i="3"/>
  <c r="AG387" i="3"/>
  <c r="AG388" i="3"/>
  <c r="AG389" i="3"/>
  <c r="AG390" i="3"/>
  <c r="AG391" i="3"/>
  <c r="AG392" i="3"/>
  <c r="AG393" i="3"/>
  <c r="AG394" i="3"/>
  <c r="AG395" i="3"/>
  <c r="AG396" i="3"/>
  <c r="AG397" i="3"/>
  <c r="AG398" i="3"/>
  <c r="AG399" i="3"/>
  <c r="AG400" i="3"/>
  <c r="AG401" i="3"/>
  <c r="AG402" i="3"/>
  <c r="AG403" i="3"/>
  <c r="AG404" i="3"/>
  <c r="AG405" i="3"/>
  <c r="AG406" i="3"/>
  <c r="AG407" i="3"/>
  <c r="AG408" i="3"/>
  <c r="AG409" i="3"/>
  <c r="AG410" i="3"/>
  <c r="AG411" i="3"/>
  <c r="AG412" i="3"/>
  <c r="AG413" i="3"/>
  <c r="AG414" i="3"/>
  <c r="AG415" i="3"/>
  <c r="AG416" i="3"/>
  <c r="AG417" i="3"/>
  <c r="AG418" i="3"/>
  <c r="AG419" i="3"/>
  <c r="AG420" i="3"/>
  <c r="AG421" i="3"/>
  <c r="AG422" i="3"/>
  <c r="AG423" i="3"/>
  <c r="AG424" i="3"/>
  <c r="AG425" i="3"/>
  <c r="AG426" i="3"/>
  <c r="AG427" i="3"/>
  <c r="AG428" i="3"/>
  <c r="AG429" i="3"/>
  <c r="AG430" i="3"/>
  <c r="AG431" i="3"/>
  <c r="AF4" i="3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5" i="3"/>
  <c r="AF146" i="3"/>
  <c r="AF147" i="3"/>
  <c r="AF148" i="3"/>
  <c r="AF149" i="3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2" i="3"/>
  <c r="AF163" i="3"/>
  <c r="AF164" i="3"/>
  <c r="AF165" i="3"/>
  <c r="AF166" i="3"/>
  <c r="AF167" i="3"/>
  <c r="AF168" i="3"/>
  <c r="AF169" i="3"/>
  <c r="AF170" i="3"/>
  <c r="AF171" i="3"/>
  <c r="AF172" i="3"/>
  <c r="AF173" i="3"/>
  <c r="AF174" i="3"/>
  <c r="AF175" i="3"/>
  <c r="AF176" i="3"/>
  <c r="AF177" i="3"/>
  <c r="AF178" i="3"/>
  <c r="AF179" i="3"/>
  <c r="AF180" i="3"/>
  <c r="AF181" i="3"/>
  <c r="AF182" i="3"/>
  <c r="AF183" i="3"/>
  <c r="AF184" i="3"/>
  <c r="AF185" i="3"/>
  <c r="AF186" i="3"/>
  <c r="AF187" i="3"/>
  <c r="AF188" i="3"/>
  <c r="AF189" i="3"/>
  <c r="AF190" i="3"/>
  <c r="AF191" i="3"/>
  <c r="AF192" i="3"/>
  <c r="AF193" i="3"/>
  <c r="AF194" i="3"/>
  <c r="AF195" i="3"/>
  <c r="AF196" i="3"/>
  <c r="AF197" i="3"/>
  <c r="AF198" i="3"/>
  <c r="AF199" i="3"/>
  <c r="AF200" i="3"/>
  <c r="AF201" i="3"/>
  <c r="AF202" i="3"/>
  <c r="AF203" i="3"/>
  <c r="AF204" i="3"/>
  <c r="AF205" i="3"/>
  <c r="AF206" i="3"/>
  <c r="AF207" i="3"/>
  <c r="AF208" i="3"/>
  <c r="AF209" i="3"/>
  <c r="AF210" i="3"/>
  <c r="AF211" i="3"/>
  <c r="AF212" i="3"/>
  <c r="AF213" i="3"/>
  <c r="AF214" i="3"/>
  <c r="AF215" i="3"/>
  <c r="AF216" i="3"/>
  <c r="AF217" i="3"/>
  <c r="AF218" i="3"/>
  <c r="AF219" i="3"/>
  <c r="AF220" i="3"/>
  <c r="AF221" i="3"/>
  <c r="AF222" i="3"/>
  <c r="AF223" i="3"/>
  <c r="AF224" i="3"/>
  <c r="AF225" i="3"/>
  <c r="AF226" i="3"/>
  <c r="AF227" i="3"/>
  <c r="AF228" i="3"/>
  <c r="AF229" i="3"/>
  <c r="AF230" i="3"/>
  <c r="AF231" i="3"/>
  <c r="AF232" i="3"/>
  <c r="AF233" i="3"/>
  <c r="AF234" i="3"/>
  <c r="AF235" i="3"/>
  <c r="AF236" i="3"/>
  <c r="AF237" i="3"/>
  <c r="AF238" i="3"/>
  <c r="AF239" i="3"/>
  <c r="AF240" i="3"/>
  <c r="AF241" i="3"/>
  <c r="AF242" i="3"/>
  <c r="AF243" i="3"/>
  <c r="AF244" i="3"/>
  <c r="AF245" i="3"/>
  <c r="AF246" i="3"/>
  <c r="AF247" i="3"/>
  <c r="AF248" i="3"/>
  <c r="AF249" i="3"/>
  <c r="AF250" i="3"/>
  <c r="AF251" i="3"/>
  <c r="AF252" i="3"/>
  <c r="AF253" i="3"/>
  <c r="AF254" i="3"/>
  <c r="AF255" i="3"/>
  <c r="AF256" i="3"/>
  <c r="AF257" i="3"/>
  <c r="AF258" i="3"/>
  <c r="AF259" i="3"/>
  <c r="AF260" i="3"/>
  <c r="AF261" i="3"/>
  <c r="AF262" i="3"/>
  <c r="AF263" i="3"/>
  <c r="AF264" i="3"/>
  <c r="AF265" i="3"/>
  <c r="AF266" i="3"/>
  <c r="AF267" i="3"/>
  <c r="AF268" i="3"/>
  <c r="AF269" i="3"/>
  <c r="AF270" i="3"/>
  <c r="AF271" i="3"/>
  <c r="AF272" i="3"/>
  <c r="AF273" i="3"/>
  <c r="AF274" i="3"/>
  <c r="AF275" i="3"/>
  <c r="AF276" i="3"/>
  <c r="AF277" i="3"/>
  <c r="AF278" i="3"/>
  <c r="AF279" i="3"/>
  <c r="AF280" i="3"/>
  <c r="AF281" i="3"/>
  <c r="AF282" i="3"/>
  <c r="AF283" i="3"/>
  <c r="AF284" i="3"/>
  <c r="AF285" i="3"/>
  <c r="AF286" i="3"/>
  <c r="AF287" i="3"/>
  <c r="AF288" i="3"/>
  <c r="AF289" i="3"/>
  <c r="AF290" i="3"/>
  <c r="AF291" i="3"/>
  <c r="AF292" i="3"/>
  <c r="AF293" i="3"/>
  <c r="AF294" i="3"/>
  <c r="AF295" i="3"/>
  <c r="AF296" i="3"/>
  <c r="AF297" i="3"/>
  <c r="AF298" i="3"/>
  <c r="AF299" i="3"/>
  <c r="AF300" i="3"/>
  <c r="AF301" i="3"/>
  <c r="AF302" i="3"/>
  <c r="AF303" i="3"/>
  <c r="AF304" i="3"/>
  <c r="AF305" i="3"/>
  <c r="AF306" i="3"/>
  <c r="AF307" i="3"/>
  <c r="AF308" i="3"/>
  <c r="AF309" i="3"/>
  <c r="AF310" i="3"/>
  <c r="AF311" i="3"/>
  <c r="AF312" i="3"/>
  <c r="AF313" i="3"/>
  <c r="AF314" i="3"/>
  <c r="AF315" i="3"/>
  <c r="AF316" i="3"/>
  <c r="AF317" i="3"/>
  <c r="AF318" i="3"/>
  <c r="AF319" i="3"/>
  <c r="AF320" i="3"/>
  <c r="AF321" i="3"/>
  <c r="AF322" i="3"/>
  <c r="AF323" i="3"/>
  <c r="AF324" i="3"/>
  <c r="AF325" i="3"/>
  <c r="AF326" i="3"/>
  <c r="AF327" i="3"/>
  <c r="AF328" i="3"/>
  <c r="AF329" i="3"/>
  <c r="AF330" i="3"/>
  <c r="AF331" i="3"/>
  <c r="AF332" i="3"/>
  <c r="AF333" i="3"/>
  <c r="AF334" i="3"/>
  <c r="AF335" i="3"/>
  <c r="AF336" i="3"/>
  <c r="AF337" i="3"/>
  <c r="AF338" i="3"/>
  <c r="AF339" i="3"/>
  <c r="AF340" i="3"/>
  <c r="AF341" i="3"/>
  <c r="AF342" i="3"/>
  <c r="AF343" i="3"/>
  <c r="AF344" i="3"/>
  <c r="AF345" i="3"/>
  <c r="AF346" i="3"/>
  <c r="AF347" i="3"/>
  <c r="AF348" i="3"/>
  <c r="AF349" i="3"/>
  <c r="AF350" i="3"/>
  <c r="AF351" i="3"/>
  <c r="AF352" i="3"/>
  <c r="AF353" i="3"/>
  <c r="AF354" i="3"/>
  <c r="AF355" i="3"/>
  <c r="AF356" i="3"/>
  <c r="AF357" i="3"/>
  <c r="AF358" i="3"/>
  <c r="AF359" i="3"/>
  <c r="AF360" i="3"/>
  <c r="AF361" i="3"/>
  <c r="AF362" i="3"/>
  <c r="AF363" i="3"/>
  <c r="AF364" i="3"/>
  <c r="AF365" i="3"/>
  <c r="AF366" i="3"/>
  <c r="AF367" i="3"/>
  <c r="AF368" i="3"/>
  <c r="AF369" i="3"/>
  <c r="AF370" i="3"/>
  <c r="AF371" i="3"/>
  <c r="AF372" i="3"/>
  <c r="AF373" i="3"/>
  <c r="AF374" i="3"/>
  <c r="AF375" i="3"/>
  <c r="AF376" i="3"/>
  <c r="AF377" i="3"/>
  <c r="AF378" i="3"/>
  <c r="AF379" i="3"/>
  <c r="AF380" i="3"/>
  <c r="AF381" i="3"/>
  <c r="AF382" i="3"/>
  <c r="AF383" i="3"/>
  <c r="AF384" i="3"/>
  <c r="AF385" i="3"/>
  <c r="AF386" i="3"/>
  <c r="AF387" i="3"/>
  <c r="AF388" i="3"/>
  <c r="AF389" i="3"/>
  <c r="AF390" i="3"/>
  <c r="AF391" i="3"/>
  <c r="AF392" i="3"/>
  <c r="AF393" i="3"/>
  <c r="AF394" i="3"/>
  <c r="AF395" i="3"/>
  <c r="AF396" i="3"/>
  <c r="AF397" i="3"/>
  <c r="AF398" i="3"/>
  <c r="AF399" i="3"/>
  <c r="AF400" i="3"/>
  <c r="AF401" i="3"/>
  <c r="AF402" i="3"/>
  <c r="AF403" i="3"/>
  <c r="AF404" i="3"/>
  <c r="AF405" i="3"/>
  <c r="AF406" i="3"/>
  <c r="AF407" i="3"/>
  <c r="AF408" i="3"/>
  <c r="AF409" i="3"/>
  <c r="AF410" i="3"/>
  <c r="AF411" i="3"/>
  <c r="AF412" i="3"/>
  <c r="AF413" i="3"/>
  <c r="AF414" i="3"/>
  <c r="AF415" i="3"/>
  <c r="AF416" i="3"/>
  <c r="AF417" i="3"/>
  <c r="AF418" i="3"/>
  <c r="AF419" i="3"/>
  <c r="AF420" i="3"/>
  <c r="AF421" i="3"/>
  <c r="AF422" i="3"/>
  <c r="AF423" i="3"/>
  <c r="AF424" i="3"/>
  <c r="AF425" i="3"/>
  <c r="AF426" i="3"/>
  <c r="AF427" i="3"/>
  <c r="AF428" i="3"/>
  <c r="AF429" i="3"/>
  <c r="AF430" i="3"/>
  <c r="AF431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132" i="3"/>
  <c r="AE133" i="3"/>
  <c r="AE134" i="3"/>
  <c r="AE135" i="3"/>
  <c r="AE136" i="3"/>
  <c r="AE137" i="3"/>
  <c r="AE138" i="3"/>
  <c r="AE139" i="3"/>
  <c r="AE140" i="3"/>
  <c r="AE141" i="3"/>
  <c r="AE142" i="3"/>
  <c r="AE143" i="3"/>
  <c r="AE144" i="3"/>
  <c r="AE145" i="3"/>
  <c r="AE146" i="3"/>
  <c r="AE147" i="3"/>
  <c r="AE148" i="3"/>
  <c r="AE149" i="3"/>
  <c r="AE150" i="3"/>
  <c r="AE151" i="3"/>
  <c r="AE152" i="3"/>
  <c r="AE153" i="3"/>
  <c r="AE154" i="3"/>
  <c r="AE155" i="3"/>
  <c r="AE156" i="3"/>
  <c r="AE157" i="3"/>
  <c r="AE158" i="3"/>
  <c r="AE159" i="3"/>
  <c r="AE160" i="3"/>
  <c r="AE161" i="3"/>
  <c r="AE162" i="3"/>
  <c r="AE163" i="3"/>
  <c r="AE164" i="3"/>
  <c r="AE165" i="3"/>
  <c r="AE166" i="3"/>
  <c r="AE167" i="3"/>
  <c r="AE168" i="3"/>
  <c r="AE169" i="3"/>
  <c r="AE170" i="3"/>
  <c r="AE171" i="3"/>
  <c r="AE172" i="3"/>
  <c r="AE173" i="3"/>
  <c r="AE174" i="3"/>
  <c r="AE175" i="3"/>
  <c r="AE176" i="3"/>
  <c r="AE177" i="3"/>
  <c r="AE178" i="3"/>
  <c r="AE179" i="3"/>
  <c r="AE180" i="3"/>
  <c r="AE181" i="3"/>
  <c r="AE182" i="3"/>
  <c r="AE183" i="3"/>
  <c r="AE184" i="3"/>
  <c r="AE185" i="3"/>
  <c r="AE186" i="3"/>
  <c r="AE187" i="3"/>
  <c r="AE188" i="3"/>
  <c r="AE189" i="3"/>
  <c r="AE190" i="3"/>
  <c r="AE191" i="3"/>
  <c r="AE192" i="3"/>
  <c r="AE193" i="3"/>
  <c r="AE194" i="3"/>
  <c r="AE195" i="3"/>
  <c r="AE196" i="3"/>
  <c r="AE197" i="3"/>
  <c r="AE198" i="3"/>
  <c r="AE199" i="3"/>
  <c r="AE200" i="3"/>
  <c r="AE201" i="3"/>
  <c r="AE202" i="3"/>
  <c r="AE203" i="3"/>
  <c r="AE204" i="3"/>
  <c r="AE205" i="3"/>
  <c r="AE206" i="3"/>
  <c r="AE207" i="3"/>
  <c r="AE208" i="3"/>
  <c r="AE209" i="3"/>
  <c r="AE210" i="3"/>
  <c r="AE211" i="3"/>
  <c r="AE212" i="3"/>
  <c r="AE213" i="3"/>
  <c r="AE214" i="3"/>
  <c r="AE215" i="3"/>
  <c r="AE216" i="3"/>
  <c r="AE217" i="3"/>
  <c r="AE218" i="3"/>
  <c r="AE219" i="3"/>
  <c r="AE220" i="3"/>
  <c r="AE221" i="3"/>
  <c r="AE222" i="3"/>
  <c r="AE223" i="3"/>
  <c r="AE224" i="3"/>
  <c r="AE225" i="3"/>
  <c r="AE226" i="3"/>
  <c r="AE227" i="3"/>
  <c r="AE228" i="3"/>
  <c r="AE229" i="3"/>
  <c r="AE230" i="3"/>
  <c r="AE231" i="3"/>
  <c r="AE232" i="3"/>
  <c r="AE233" i="3"/>
  <c r="AE234" i="3"/>
  <c r="AE235" i="3"/>
  <c r="AE236" i="3"/>
  <c r="AE237" i="3"/>
  <c r="AE238" i="3"/>
  <c r="AE239" i="3"/>
  <c r="AE240" i="3"/>
  <c r="AE241" i="3"/>
  <c r="AE242" i="3"/>
  <c r="AE243" i="3"/>
  <c r="AE244" i="3"/>
  <c r="AE245" i="3"/>
  <c r="AE246" i="3"/>
  <c r="AE247" i="3"/>
  <c r="AE248" i="3"/>
  <c r="AE249" i="3"/>
  <c r="AE250" i="3"/>
  <c r="AE251" i="3"/>
  <c r="AE252" i="3"/>
  <c r="AE253" i="3"/>
  <c r="AE254" i="3"/>
  <c r="AE255" i="3"/>
  <c r="AE256" i="3"/>
  <c r="AE257" i="3"/>
  <c r="AE258" i="3"/>
  <c r="AE259" i="3"/>
  <c r="AE260" i="3"/>
  <c r="AE261" i="3"/>
  <c r="AE262" i="3"/>
  <c r="AE263" i="3"/>
  <c r="AE264" i="3"/>
  <c r="AE265" i="3"/>
  <c r="AE266" i="3"/>
  <c r="AE267" i="3"/>
  <c r="AE268" i="3"/>
  <c r="AE269" i="3"/>
  <c r="AE270" i="3"/>
  <c r="AE271" i="3"/>
  <c r="AE272" i="3"/>
  <c r="AE273" i="3"/>
  <c r="AE274" i="3"/>
  <c r="AE275" i="3"/>
  <c r="AE276" i="3"/>
  <c r="AE277" i="3"/>
  <c r="AE278" i="3"/>
  <c r="AE279" i="3"/>
  <c r="AE280" i="3"/>
  <c r="AE281" i="3"/>
  <c r="AE282" i="3"/>
  <c r="AE283" i="3"/>
  <c r="AE284" i="3"/>
  <c r="AE285" i="3"/>
  <c r="AE286" i="3"/>
  <c r="AE287" i="3"/>
  <c r="AE288" i="3"/>
  <c r="AE289" i="3"/>
  <c r="AE290" i="3"/>
  <c r="AE291" i="3"/>
  <c r="AE292" i="3"/>
  <c r="AE293" i="3"/>
  <c r="AE294" i="3"/>
  <c r="AE295" i="3"/>
  <c r="AE296" i="3"/>
  <c r="AE297" i="3"/>
  <c r="AE298" i="3"/>
  <c r="AE299" i="3"/>
  <c r="AE300" i="3"/>
  <c r="AE301" i="3"/>
  <c r="AE302" i="3"/>
  <c r="AE303" i="3"/>
  <c r="AE304" i="3"/>
  <c r="AE305" i="3"/>
  <c r="AE306" i="3"/>
  <c r="AE307" i="3"/>
  <c r="AE308" i="3"/>
  <c r="AE309" i="3"/>
  <c r="AE310" i="3"/>
  <c r="AE311" i="3"/>
  <c r="AE312" i="3"/>
  <c r="AE313" i="3"/>
  <c r="AE314" i="3"/>
  <c r="AE315" i="3"/>
  <c r="AE316" i="3"/>
  <c r="AE317" i="3"/>
  <c r="AE318" i="3"/>
  <c r="AE319" i="3"/>
  <c r="AE320" i="3"/>
  <c r="AE321" i="3"/>
  <c r="AE322" i="3"/>
  <c r="AE323" i="3"/>
  <c r="AE324" i="3"/>
  <c r="AE325" i="3"/>
  <c r="AE326" i="3"/>
  <c r="AE327" i="3"/>
  <c r="AE328" i="3"/>
  <c r="AE329" i="3"/>
  <c r="AE330" i="3"/>
  <c r="AE331" i="3"/>
  <c r="AE332" i="3"/>
  <c r="AE333" i="3"/>
  <c r="AE334" i="3"/>
  <c r="AE335" i="3"/>
  <c r="AE336" i="3"/>
  <c r="AE337" i="3"/>
  <c r="AE338" i="3"/>
  <c r="AE339" i="3"/>
  <c r="AE340" i="3"/>
  <c r="AE341" i="3"/>
  <c r="AE342" i="3"/>
  <c r="AE343" i="3"/>
  <c r="AE344" i="3"/>
  <c r="AE345" i="3"/>
  <c r="AE346" i="3"/>
  <c r="AE347" i="3"/>
  <c r="AE348" i="3"/>
  <c r="AE349" i="3"/>
  <c r="AE350" i="3"/>
  <c r="AE351" i="3"/>
  <c r="AE352" i="3"/>
  <c r="AE353" i="3"/>
  <c r="AE354" i="3"/>
  <c r="AE355" i="3"/>
  <c r="AE356" i="3"/>
  <c r="AE357" i="3"/>
  <c r="AE358" i="3"/>
  <c r="AE359" i="3"/>
  <c r="AE360" i="3"/>
  <c r="AE361" i="3"/>
  <c r="AE362" i="3"/>
  <c r="AE363" i="3"/>
  <c r="AE364" i="3"/>
  <c r="AE365" i="3"/>
  <c r="AE366" i="3"/>
  <c r="AE367" i="3"/>
  <c r="AE368" i="3"/>
  <c r="AE369" i="3"/>
  <c r="AE370" i="3"/>
  <c r="AE371" i="3"/>
  <c r="AE372" i="3"/>
  <c r="AE373" i="3"/>
  <c r="AE374" i="3"/>
  <c r="AE375" i="3"/>
  <c r="AE376" i="3"/>
  <c r="AE377" i="3"/>
  <c r="AE378" i="3"/>
  <c r="AE379" i="3"/>
  <c r="AE380" i="3"/>
  <c r="AE381" i="3"/>
  <c r="AE382" i="3"/>
  <c r="AE383" i="3"/>
  <c r="AE384" i="3"/>
  <c r="AE385" i="3"/>
  <c r="AE386" i="3"/>
  <c r="AE387" i="3"/>
  <c r="AE388" i="3"/>
  <c r="AE389" i="3"/>
  <c r="AE390" i="3"/>
  <c r="AE391" i="3"/>
  <c r="AE392" i="3"/>
  <c r="AE393" i="3"/>
  <c r="AE394" i="3"/>
  <c r="AE395" i="3"/>
  <c r="AE396" i="3"/>
  <c r="AE397" i="3"/>
  <c r="AE398" i="3"/>
  <c r="AE399" i="3"/>
  <c r="AE400" i="3"/>
  <c r="AE401" i="3"/>
  <c r="AE402" i="3"/>
  <c r="AE403" i="3"/>
  <c r="AE404" i="3"/>
  <c r="AE405" i="3"/>
  <c r="AE406" i="3"/>
  <c r="AE407" i="3"/>
  <c r="AE408" i="3"/>
  <c r="AE409" i="3"/>
  <c r="AE410" i="3"/>
  <c r="AE411" i="3"/>
  <c r="AE412" i="3"/>
  <c r="AE413" i="3"/>
  <c r="AE414" i="3"/>
  <c r="AE415" i="3"/>
  <c r="AE416" i="3"/>
  <c r="AE417" i="3"/>
  <c r="AE418" i="3"/>
  <c r="AE419" i="3"/>
  <c r="AE420" i="3"/>
  <c r="AE421" i="3"/>
  <c r="AE422" i="3"/>
  <c r="AE423" i="3"/>
  <c r="AE424" i="3"/>
  <c r="AE425" i="3"/>
  <c r="AE426" i="3"/>
  <c r="AE427" i="3"/>
  <c r="AE428" i="3"/>
  <c r="AE429" i="3"/>
  <c r="AE430" i="3"/>
  <c r="AE431" i="3"/>
  <c r="AD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31" i="3"/>
  <c r="AD132" i="3"/>
  <c r="AD133" i="3"/>
  <c r="AD134" i="3"/>
  <c r="AD135" i="3"/>
  <c r="AD136" i="3"/>
  <c r="AD137" i="3"/>
  <c r="AD138" i="3"/>
  <c r="AD139" i="3"/>
  <c r="AD140" i="3"/>
  <c r="AD141" i="3"/>
  <c r="AD142" i="3"/>
  <c r="AD143" i="3"/>
  <c r="AD144" i="3"/>
  <c r="AD145" i="3"/>
  <c r="AD146" i="3"/>
  <c r="AD147" i="3"/>
  <c r="AD148" i="3"/>
  <c r="AD149" i="3"/>
  <c r="AD150" i="3"/>
  <c r="AD151" i="3"/>
  <c r="AD152" i="3"/>
  <c r="AD153" i="3"/>
  <c r="AD154" i="3"/>
  <c r="AD155" i="3"/>
  <c r="AD156" i="3"/>
  <c r="AD157" i="3"/>
  <c r="AD158" i="3"/>
  <c r="AD159" i="3"/>
  <c r="AD160" i="3"/>
  <c r="AD161" i="3"/>
  <c r="AD162" i="3"/>
  <c r="AD163" i="3"/>
  <c r="AD164" i="3"/>
  <c r="AD165" i="3"/>
  <c r="AD166" i="3"/>
  <c r="AD167" i="3"/>
  <c r="AD168" i="3"/>
  <c r="AD169" i="3"/>
  <c r="AD170" i="3"/>
  <c r="AD171" i="3"/>
  <c r="AD172" i="3"/>
  <c r="AD173" i="3"/>
  <c r="AD174" i="3"/>
  <c r="AD175" i="3"/>
  <c r="AD176" i="3"/>
  <c r="AD177" i="3"/>
  <c r="AD178" i="3"/>
  <c r="AD179" i="3"/>
  <c r="AD180" i="3"/>
  <c r="AD181" i="3"/>
  <c r="AD182" i="3"/>
  <c r="AD183" i="3"/>
  <c r="AD184" i="3"/>
  <c r="AD185" i="3"/>
  <c r="AD186" i="3"/>
  <c r="AD187" i="3"/>
  <c r="AD188" i="3"/>
  <c r="AD189" i="3"/>
  <c r="AD190" i="3"/>
  <c r="AD191" i="3"/>
  <c r="AD192" i="3"/>
  <c r="AD193" i="3"/>
  <c r="AD194" i="3"/>
  <c r="AD195" i="3"/>
  <c r="AD196" i="3"/>
  <c r="AD197" i="3"/>
  <c r="AD198" i="3"/>
  <c r="AD199" i="3"/>
  <c r="AD200" i="3"/>
  <c r="AD201" i="3"/>
  <c r="AD202" i="3"/>
  <c r="AD203" i="3"/>
  <c r="AD204" i="3"/>
  <c r="AD205" i="3"/>
  <c r="AD206" i="3"/>
  <c r="AD207" i="3"/>
  <c r="AD208" i="3"/>
  <c r="AD209" i="3"/>
  <c r="AD210" i="3"/>
  <c r="AD211" i="3"/>
  <c r="AD212" i="3"/>
  <c r="AD213" i="3"/>
  <c r="AD214" i="3"/>
  <c r="AD215" i="3"/>
  <c r="AD216" i="3"/>
  <c r="AD217" i="3"/>
  <c r="AD218" i="3"/>
  <c r="AD219" i="3"/>
  <c r="AD220" i="3"/>
  <c r="AD221" i="3"/>
  <c r="AD222" i="3"/>
  <c r="AD223" i="3"/>
  <c r="AD224" i="3"/>
  <c r="AD225" i="3"/>
  <c r="AD226" i="3"/>
  <c r="AD227" i="3"/>
  <c r="AD228" i="3"/>
  <c r="AD229" i="3"/>
  <c r="AD230" i="3"/>
  <c r="AD231" i="3"/>
  <c r="AD232" i="3"/>
  <c r="AD233" i="3"/>
  <c r="AD234" i="3"/>
  <c r="AD235" i="3"/>
  <c r="AD236" i="3"/>
  <c r="AD237" i="3"/>
  <c r="AD238" i="3"/>
  <c r="AD239" i="3"/>
  <c r="AD240" i="3"/>
  <c r="AD241" i="3"/>
  <c r="AD242" i="3"/>
  <c r="AD243" i="3"/>
  <c r="AD244" i="3"/>
  <c r="AD245" i="3"/>
  <c r="AD246" i="3"/>
  <c r="AD247" i="3"/>
  <c r="AD248" i="3"/>
  <c r="AD249" i="3"/>
  <c r="AD250" i="3"/>
  <c r="AD251" i="3"/>
  <c r="AD252" i="3"/>
  <c r="AD253" i="3"/>
  <c r="AD254" i="3"/>
  <c r="AD255" i="3"/>
  <c r="AD256" i="3"/>
  <c r="AD257" i="3"/>
  <c r="AD258" i="3"/>
  <c r="AD259" i="3"/>
  <c r="AD260" i="3"/>
  <c r="AD261" i="3"/>
  <c r="AD262" i="3"/>
  <c r="AD263" i="3"/>
  <c r="AD264" i="3"/>
  <c r="AD265" i="3"/>
  <c r="AD266" i="3"/>
  <c r="AD267" i="3"/>
  <c r="AD268" i="3"/>
  <c r="AD269" i="3"/>
  <c r="AD270" i="3"/>
  <c r="AD271" i="3"/>
  <c r="AD272" i="3"/>
  <c r="AD273" i="3"/>
  <c r="AD274" i="3"/>
  <c r="AD275" i="3"/>
  <c r="AD276" i="3"/>
  <c r="AD277" i="3"/>
  <c r="AD278" i="3"/>
  <c r="AD279" i="3"/>
  <c r="AD280" i="3"/>
  <c r="AD281" i="3"/>
  <c r="AD282" i="3"/>
  <c r="AD283" i="3"/>
  <c r="AD284" i="3"/>
  <c r="AD285" i="3"/>
  <c r="AD286" i="3"/>
  <c r="AD287" i="3"/>
  <c r="AD288" i="3"/>
  <c r="AD289" i="3"/>
  <c r="AD290" i="3"/>
  <c r="AD291" i="3"/>
  <c r="AD292" i="3"/>
  <c r="AD293" i="3"/>
  <c r="AD294" i="3"/>
  <c r="AD295" i="3"/>
  <c r="AD296" i="3"/>
  <c r="AD297" i="3"/>
  <c r="AD298" i="3"/>
  <c r="AD299" i="3"/>
  <c r="AD300" i="3"/>
  <c r="AD301" i="3"/>
  <c r="AD302" i="3"/>
  <c r="AD303" i="3"/>
  <c r="AD304" i="3"/>
  <c r="AD305" i="3"/>
  <c r="AD306" i="3"/>
  <c r="AD307" i="3"/>
  <c r="AD308" i="3"/>
  <c r="AD309" i="3"/>
  <c r="AD310" i="3"/>
  <c r="AD311" i="3"/>
  <c r="AD312" i="3"/>
  <c r="AD313" i="3"/>
  <c r="AD314" i="3"/>
  <c r="AD315" i="3"/>
  <c r="AD316" i="3"/>
  <c r="AD317" i="3"/>
  <c r="AD318" i="3"/>
  <c r="AD319" i="3"/>
  <c r="AD320" i="3"/>
  <c r="AD321" i="3"/>
  <c r="AD322" i="3"/>
  <c r="AD323" i="3"/>
  <c r="AD324" i="3"/>
  <c r="AD325" i="3"/>
  <c r="AD326" i="3"/>
  <c r="AD327" i="3"/>
  <c r="AD328" i="3"/>
  <c r="AD329" i="3"/>
  <c r="AD330" i="3"/>
  <c r="AD331" i="3"/>
  <c r="AD332" i="3"/>
  <c r="AD333" i="3"/>
  <c r="AD334" i="3"/>
  <c r="AD335" i="3"/>
  <c r="AD336" i="3"/>
  <c r="AD337" i="3"/>
  <c r="AD338" i="3"/>
  <c r="AD339" i="3"/>
  <c r="AD340" i="3"/>
  <c r="AD341" i="3"/>
  <c r="AD342" i="3"/>
  <c r="AD343" i="3"/>
  <c r="AD344" i="3"/>
  <c r="AD345" i="3"/>
  <c r="AD346" i="3"/>
  <c r="AD347" i="3"/>
  <c r="AD348" i="3"/>
  <c r="AD349" i="3"/>
  <c r="AD350" i="3"/>
  <c r="AD351" i="3"/>
  <c r="AD352" i="3"/>
  <c r="AD353" i="3"/>
  <c r="AD354" i="3"/>
  <c r="AD355" i="3"/>
  <c r="AD356" i="3"/>
  <c r="AD357" i="3"/>
  <c r="AD358" i="3"/>
  <c r="AD359" i="3"/>
  <c r="AD360" i="3"/>
  <c r="AD361" i="3"/>
  <c r="AD362" i="3"/>
  <c r="AD363" i="3"/>
  <c r="AD364" i="3"/>
  <c r="AD365" i="3"/>
  <c r="AD366" i="3"/>
  <c r="AD367" i="3"/>
  <c r="AD368" i="3"/>
  <c r="AD369" i="3"/>
  <c r="AD370" i="3"/>
  <c r="AD371" i="3"/>
  <c r="AD372" i="3"/>
  <c r="AD373" i="3"/>
  <c r="AD374" i="3"/>
  <c r="AD375" i="3"/>
  <c r="AD376" i="3"/>
  <c r="AD377" i="3"/>
  <c r="AD378" i="3"/>
  <c r="AD379" i="3"/>
  <c r="AD380" i="3"/>
  <c r="AD381" i="3"/>
  <c r="AD382" i="3"/>
  <c r="AD383" i="3"/>
  <c r="AD384" i="3"/>
  <c r="AD385" i="3"/>
  <c r="AD386" i="3"/>
  <c r="AD387" i="3"/>
  <c r="AD388" i="3"/>
  <c r="AD389" i="3"/>
  <c r="AD390" i="3"/>
  <c r="AD391" i="3"/>
  <c r="AD392" i="3"/>
  <c r="AD393" i="3"/>
  <c r="AD394" i="3"/>
  <c r="AD395" i="3"/>
  <c r="AD396" i="3"/>
  <c r="AD397" i="3"/>
  <c r="AD398" i="3"/>
  <c r="AD399" i="3"/>
  <c r="AD400" i="3"/>
  <c r="AD401" i="3"/>
  <c r="AD402" i="3"/>
  <c r="AD403" i="3"/>
  <c r="AD404" i="3"/>
  <c r="AD405" i="3"/>
  <c r="AD406" i="3"/>
  <c r="AD407" i="3"/>
  <c r="AD408" i="3"/>
  <c r="AD409" i="3"/>
  <c r="AD410" i="3"/>
  <c r="AD411" i="3"/>
  <c r="AD412" i="3"/>
  <c r="AD413" i="3"/>
  <c r="AD414" i="3"/>
  <c r="AD415" i="3"/>
  <c r="AD416" i="3"/>
  <c r="AD417" i="3"/>
  <c r="AD418" i="3"/>
  <c r="AD419" i="3"/>
  <c r="AD420" i="3"/>
  <c r="AD421" i="3"/>
  <c r="AD422" i="3"/>
  <c r="AD423" i="3"/>
  <c r="AD424" i="3"/>
  <c r="AD425" i="3"/>
  <c r="AD426" i="3"/>
  <c r="AD427" i="3"/>
  <c r="AD428" i="3"/>
  <c r="AD429" i="3"/>
  <c r="AD430" i="3"/>
  <c r="AD431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69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2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96" i="3"/>
  <c r="AA297" i="3"/>
  <c r="AA298" i="3"/>
  <c r="AA299" i="3"/>
  <c r="AA300" i="3"/>
  <c r="AA301" i="3"/>
  <c r="AA302" i="3"/>
  <c r="AA303" i="3"/>
  <c r="AA304" i="3"/>
  <c r="AA305" i="3"/>
  <c r="AA306" i="3"/>
  <c r="AA307" i="3"/>
  <c r="AA308" i="3"/>
  <c r="AA309" i="3"/>
  <c r="AA310" i="3"/>
  <c r="AA311" i="3"/>
  <c r="AA312" i="3"/>
  <c r="AA313" i="3"/>
  <c r="AA314" i="3"/>
  <c r="AA315" i="3"/>
  <c r="AA316" i="3"/>
  <c r="AA317" i="3"/>
  <c r="AA318" i="3"/>
  <c r="AA319" i="3"/>
  <c r="AA320" i="3"/>
  <c r="AA321" i="3"/>
  <c r="AA322" i="3"/>
  <c r="AA323" i="3"/>
  <c r="AA324" i="3"/>
  <c r="AA325" i="3"/>
  <c r="AA326" i="3"/>
  <c r="AA327" i="3"/>
  <c r="AA328" i="3"/>
  <c r="AA329" i="3"/>
  <c r="AA330" i="3"/>
  <c r="AA331" i="3"/>
  <c r="AA332" i="3"/>
  <c r="AA333" i="3"/>
  <c r="AA334" i="3"/>
  <c r="AA335" i="3"/>
  <c r="AA336" i="3"/>
  <c r="AA337" i="3"/>
  <c r="AA338" i="3"/>
  <c r="AA339" i="3"/>
  <c r="AA340" i="3"/>
  <c r="AA341" i="3"/>
  <c r="AA342" i="3"/>
  <c r="AA343" i="3"/>
  <c r="AA344" i="3"/>
  <c r="AA345" i="3"/>
  <c r="AA346" i="3"/>
  <c r="AA347" i="3"/>
  <c r="AA348" i="3"/>
  <c r="AA349" i="3"/>
  <c r="AA350" i="3"/>
  <c r="AA351" i="3"/>
  <c r="AA352" i="3"/>
  <c r="AA353" i="3"/>
  <c r="AA354" i="3"/>
  <c r="AA355" i="3"/>
  <c r="AA356" i="3"/>
  <c r="AA357" i="3"/>
  <c r="AA358" i="3"/>
  <c r="AA359" i="3"/>
  <c r="AA360" i="3"/>
  <c r="AA361" i="3"/>
  <c r="AA362" i="3"/>
  <c r="AA363" i="3"/>
  <c r="AA364" i="3"/>
  <c r="AA365" i="3"/>
  <c r="AA366" i="3"/>
  <c r="AA367" i="3"/>
  <c r="AA368" i="3"/>
  <c r="AA369" i="3"/>
  <c r="AA370" i="3"/>
  <c r="AA371" i="3"/>
  <c r="AA372" i="3"/>
  <c r="AA373" i="3"/>
  <c r="AA374" i="3"/>
  <c r="AA375" i="3"/>
  <c r="AA376" i="3"/>
  <c r="AA377" i="3"/>
  <c r="AA378" i="3"/>
  <c r="AA379" i="3"/>
  <c r="AA380" i="3"/>
  <c r="AA381" i="3"/>
  <c r="AA382" i="3"/>
  <c r="AA383" i="3"/>
  <c r="AA384" i="3"/>
  <c r="AA385" i="3"/>
  <c r="AA386" i="3"/>
  <c r="AA387" i="3"/>
  <c r="AA388" i="3"/>
  <c r="AA389" i="3"/>
  <c r="AA390" i="3"/>
  <c r="AA391" i="3"/>
  <c r="AA392" i="3"/>
  <c r="AA393" i="3"/>
  <c r="AA394" i="3"/>
  <c r="AA395" i="3"/>
  <c r="AA396" i="3"/>
  <c r="AA397" i="3"/>
  <c r="AA398" i="3"/>
  <c r="AA399" i="3"/>
  <c r="AA400" i="3"/>
  <c r="AA401" i="3"/>
  <c r="AA402" i="3"/>
  <c r="AA403" i="3"/>
  <c r="AA404" i="3"/>
  <c r="AA405" i="3"/>
  <c r="AA406" i="3"/>
  <c r="AA407" i="3"/>
  <c r="AA408" i="3"/>
  <c r="AA409" i="3"/>
  <c r="AA410" i="3"/>
  <c r="AA411" i="3"/>
  <c r="AA412" i="3"/>
  <c r="AA413" i="3"/>
  <c r="AA414" i="3"/>
  <c r="AA415" i="3"/>
  <c r="AA416" i="3"/>
  <c r="AA417" i="3"/>
  <c r="AA418" i="3"/>
  <c r="AA419" i="3"/>
  <c r="AA420" i="3"/>
  <c r="AA421" i="3"/>
  <c r="AA422" i="3"/>
  <c r="AA423" i="3"/>
  <c r="AA424" i="3"/>
  <c r="AA425" i="3"/>
  <c r="AA426" i="3"/>
  <c r="AA427" i="3"/>
  <c r="AA428" i="3"/>
  <c r="AA429" i="3"/>
  <c r="AA430" i="3"/>
  <c r="AA431" i="3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179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Y241" i="3"/>
  <c r="Y242" i="3"/>
  <c r="Y243" i="3"/>
  <c r="Y244" i="3"/>
  <c r="Y245" i="3"/>
  <c r="Y246" i="3"/>
  <c r="Y247" i="3"/>
  <c r="Y248" i="3"/>
  <c r="Y249" i="3"/>
  <c r="Y250" i="3"/>
  <c r="Y251" i="3"/>
  <c r="Y252" i="3"/>
  <c r="Y253" i="3"/>
  <c r="Y254" i="3"/>
  <c r="Y255" i="3"/>
  <c r="Y256" i="3"/>
  <c r="Y257" i="3"/>
  <c r="Y258" i="3"/>
  <c r="Y259" i="3"/>
  <c r="Y260" i="3"/>
  <c r="Y261" i="3"/>
  <c r="Y262" i="3"/>
  <c r="Y263" i="3"/>
  <c r="Y264" i="3"/>
  <c r="Y265" i="3"/>
  <c r="Y266" i="3"/>
  <c r="Y267" i="3"/>
  <c r="Y268" i="3"/>
  <c r="Y269" i="3"/>
  <c r="Y270" i="3"/>
  <c r="Y271" i="3"/>
  <c r="Y272" i="3"/>
  <c r="Y273" i="3"/>
  <c r="Y274" i="3"/>
  <c r="Y275" i="3"/>
  <c r="Y276" i="3"/>
  <c r="Y277" i="3"/>
  <c r="Y278" i="3"/>
  <c r="Y279" i="3"/>
  <c r="Y280" i="3"/>
  <c r="Y281" i="3"/>
  <c r="Y282" i="3"/>
  <c r="Y283" i="3"/>
  <c r="Y284" i="3"/>
  <c r="Y285" i="3"/>
  <c r="Y286" i="3"/>
  <c r="Y287" i="3"/>
  <c r="Y288" i="3"/>
  <c r="Y289" i="3"/>
  <c r="Y290" i="3"/>
  <c r="Y291" i="3"/>
  <c r="Y292" i="3"/>
  <c r="Y293" i="3"/>
  <c r="Y294" i="3"/>
  <c r="Y295" i="3"/>
  <c r="Y296" i="3"/>
  <c r="Y297" i="3"/>
  <c r="Y298" i="3"/>
  <c r="Y299" i="3"/>
  <c r="Y300" i="3"/>
  <c r="Y301" i="3"/>
  <c r="Y302" i="3"/>
  <c r="Y303" i="3"/>
  <c r="Y304" i="3"/>
  <c r="Y305" i="3"/>
  <c r="Y306" i="3"/>
  <c r="Y307" i="3"/>
  <c r="Y308" i="3"/>
  <c r="Y309" i="3"/>
  <c r="Y310" i="3"/>
  <c r="Y311" i="3"/>
  <c r="Y312" i="3"/>
  <c r="Y313" i="3"/>
  <c r="Y314" i="3"/>
  <c r="Y315" i="3"/>
  <c r="Y316" i="3"/>
  <c r="Y317" i="3"/>
  <c r="Y318" i="3"/>
  <c r="Y319" i="3"/>
  <c r="Y320" i="3"/>
  <c r="Y321" i="3"/>
  <c r="Y322" i="3"/>
  <c r="Y323" i="3"/>
  <c r="Y324" i="3"/>
  <c r="Y325" i="3"/>
  <c r="Y326" i="3"/>
  <c r="Y327" i="3"/>
  <c r="Y328" i="3"/>
  <c r="Y329" i="3"/>
  <c r="Y330" i="3"/>
  <c r="Y331" i="3"/>
  <c r="Y332" i="3"/>
  <c r="Y333" i="3"/>
  <c r="Y334" i="3"/>
  <c r="Y335" i="3"/>
  <c r="Y336" i="3"/>
  <c r="Y337" i="3"/>
  <c r="Y338" i="3"/>
  <c r="Y339" i="3"/>
  <c r="Y340" i="3"/>
  <c r="Y341" i="3"/>
  <c r="Y342" i="3"/>
  <c r="Y343" i="3"/>
  <c r="Y344" i="3"/>
  <c r="Y345" i="3"/>
  <c r="Y346" i="3"/>
  <c r="Y347" i="3"/>
  <c r="Y348" i="3"/>
  <c r="Y349" i="3"/>
  <c r="Y350" i="3"/>
  <c r="Y351" i="3"/>
  <c r="Y352" i="3"/>
  <c r="Y353" i="3"/>
  <c r="Y354" i="3"/>
  <c r="Y355" i="3"/>
  <c r="Y356" i="3"/>
  <c r="Y357" i="3"/>
  <c r="Y358" i="3"/>
  <c r="Y359" i="3"/>
  <c r="Y360" i="3"/>
  <c r="Y361" i="3"/>
  <c r="Y362" i="3"/>
  <c r="Y363" i="3"/>
  <c r="Y364" i="3"/>
  <c r="Y365" i="3"/>
  <c r="Y366" i="3"/>
  <c r="Y367" i="3"/>
  <c r="Y368" i="3"/>
  <c r="Y369" i="3"/>
  <c r="Y370" i="3"/>
  <c r="Y371" i="3"/>
  <c r="Y372" i="3"/>
  <c r="Y373" i="3"/>
  <c r="Y374" i="3"/>
  <c r="Y375" i="3"/>
  <c r="Y376" i="3"/>
  <c r="Y377" i="3"/>
  <c r="Y378" i="3"/>
  <c r="Y379" i="3"/>
  <c r="Y380" i="3"/>
  <c r="Y381" i="3"/>
  <c r="Y382" i="3"/>
  <c r="Y383" i="3"/>
  <c r="Y384" i="3"/>
  <c r="Y385" i="3"/>
  <c r="Y386" i="3"/>
  <c r="Y387" i="3"/>
  <c r="Y388" i="3"/>
  <c r="Y389" i="3"/>
  <c r="Y390" i="3"/>
  <c r="Y391" i="3"/>
  <c r="Y392" i="3"/>
  <c r="Y393" i="3"/>
  <c r="Y394" i="3"/>
  <c r="Y395" i="3"/>
  <c r="Y396" i="3"/>
  <c r="Y397" i="3"/>
  <c r="Y398" i="3"/>
  <c r="Y399" i="3"/>
  <c r="Y400" i="3"/>
  <c r="Y401" i="3"/>
  <c r="Y402" i="3"/>
  <c r="Y403" i="3"/>
  <c r="Y404" i="3"/>
  <c r="Y405" i="3"/>
  <c r="Y406" i="3"/>
  <c r="Y407" i="3"/>
  <c r="Y408" i="3"/>
  <c r="Y409" i="3"/>
  <c r="Y410" i="3"/>
  <c r="Y411" i="3"/>
  <c r="Y412" i="3"/>
  <c r="Y413" i="3"/>
  <c r="Y414" i="3"/>
  <c r="Y415" i="3"/>
  <c r="Y416" i="3"/>
  <c r="Y417" i="3"/>
  <c r="Y418" i="3"/>
  <c r="Y419" i="3"/>
  <c r="Y420" i="3"/>
  <c r="Y421" i="3"/>
  <c r="Y422" i="3"/>
  <c r="Y423" i="3"/>
  <c r="Y424" i="3"/>
  <c r="Y425" i="3"/>
  <c r="Y426" i="3"/>
  <c r="Y427" i="3"/>
  <c r="Y428" i="3"/>
  <c r="Y429" i="3"/>
  <c r="Y430" i="3"/>
  <c r="Y431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S3" i="1"/>
  <c r="R3" i="1"/>
  <c r="P3" i="1"/>
  <c r="Q3" i="1"/>
  <c r="O3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D4" i="3"/>
  <c r="Q4" i="1" l="1"/>
  <c r="Q5" i="1"/>
  <c r="G6" i="3" s="1"/>
  <c r="Q6" i="1"/>
  <c r="Q7" i="1"/>
  <c r="Q8" i="1"/>
  <c r="Q9" i="1"/>
  <c r="G10" i="3" s="1"/>
  <c r="Q10" i="1"/>
  <c r="Q11" i="1"/>
  <c r="Q12" i="1"/>
  <c r="Q13" i="1"/>
  <c r="Q14" i="1"/>
  <c r="Q15" i="1"/>
  <c r="Q16" i="1"/>
  <c r="Q17" i="1"/>
  <c r="G18" i="3" s="1"/>
  <c r="Q18" i="1"/>
  <c r="Q19" i="1"/>
  <c r="Q20" i="1"/>
  <c r="Q21" i="1"/>
  <c r="G22" i="3" s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G36" i="3" s="1"/>
  <c r="Q36" i="1"/>
  <c r="Q37" i="1"/>
  <c r="G38" i="3" s="1"/>
  <c r="Q38" i="1"/>
  <c r="Q39" i="1"/>
  <c r="Q40" i="1"/>
  <c r="Q41" i="1"/>
  <c r="G42" i="3" s="1"/>
  <c r="Q42" i="1"/>
  <c r="G43" i="3" s="1"/>
  <c r="Q43" i="1"/>
  <c r="Q44" i="1"/>
  <c r="Q45" i="1"/>
  <c r="Q46" i="1"/>
  <c r="Q47" i="1"/>
  <c r="Q48" i="1"/>
  <c r="Q49" i="1"/>
  <c r="G50" i="3" s="1"/>
  <c r="Q50" i="1"/>
  <c r="Q51" i="1"/>
  <c r="G52" i="3" s="1"/>
  <c r="Q52" i="1"/>
  <c r="Q53" i="1"/>
  <c r="Q54" i="1"/>
  <c r="Q55" i="1"/>
  <c r="Q56" i="1"/>
  <c r="Q57" i="1"/>
  <c r="G58" i="3" s="1"/>
  <c r="Q58" i="1"/>
  <c r="Q59" i="1"/>
  <c r="Q60" i="1"/>
  <c r="Q61" i="1"/>
  <c r="G62" i="3" s="1"/>
  <c r="Q62" i="1"/>
  <c r="Q63" i="1"/>
  <c r="Q64" i="1"/>
  <c r="Q65" i="1"/>
  <c r="Q66" i="1"/>
  <c r="Q67" i="1"/>
  <c r="Q68" i="1"/>
  <c r="Q69" i="1"/>
  <c r="G70" i="3" s="1"/>
  <c r="Q70" i="1"/>
  <c r="Q71" i="1"/>
  <c r="Q72" i="1"/>
  <c r="Q73" i="1"/>
  <c r="Q74" i="1"/>
  <c r="Q75" i="1"/>
  <c r="Q76" i="1"/>
  <c r="Q77" i="1"/>
  <c r="G78" i="3" s="1"/>
  <c r="Q78" i="1"/>
  <c r="Q79" i="1"/>
  <c r="Q80" i="1"/>
  <c r="G81" i="3" s="1"/>
  <c r="Q81" i="1"/>
  <c r="Q82" i="1"/>
  <c r="Q83" i="1"/>
  <c r="Q84" i="1"/>
  <c r="G85" i="3" s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G103" i="3" s="1"/>
  <c r="Q103" i="1"/>
  <c r="Q104" i="1"/>
  <c r="Q105" i="1"/>
  <c r="Q106" i="1"/>
  <c r="Q107" i="1"/>
  <c r="Q108" i="1"/>
  <c r="Q109" i="1"/>
  <c r="Q110" i="1"/>
  <c r="Q111" i="1"/>
  <c r="Q112" i="1"/>
  <c r="Q113" i="1"/>
  <c r="G114" i="3" s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G132" i="3" s="1"/>
  <c r="Q132" i="1"/>
  <c r="Q133" i="1"/>
  <c r="G134" i="3" s="1"/>
  <c r="Q134" i="1"/>
  <c r="Q135" i="1"/>
  <c r="Q136" i="1"/>
  <c r="Q137" i="1"/>
  <c r="G138" i="3" s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G154" i="3" s="1"/>
  <c r="Q154" i="1"/>
  <c r="Q155" i="1"/>
  <c r="Q156" i="1"/>
  <c r="Q157" i="1"/>
  <c r="G158" i="3" s="1"/>
  <c r="Q158" i="1"/>
  <c r="Q159" i="1"/>
  <c r="Q160" i="1"/>
  <c r="Q161" i="1"/>
  <c r="Q162" i="1"/>
  <c r="Q163" i="1"/>
  <c r="Q164" i="1"/>
  <c r="G165" i="3" s="1"/>
  <c r="Q165" i="1"/>
  <c r="G166" i="3" s="1"/>
  <c r="Q166" i="1"/>
  <c r="Q167" i="1"/>
  <c r="Q168" i="1"/>
  <c r="G169" i="3" s="1"/>
  <c r="Q169" i="1"/>
  <c r="Q170" i="1"/>
  <c r="Q171" i="1"/>
  <c r="Q172" i="1"/>
  <c r="Q173" i="1"/>
  <c r="G174" i="3" s="1"/>
  <c r="Q174" i="1"/>
  <c r="Q175" i="1"/>
  <c r="Q176" i="1"/>
  <c r="Q177" i="1"/>
  <c r="G178" i="3" s="1"/>
  <c r="Q178" i="1"/>
  <c r="Q179" i="1"/>
  <c r="Q180" i="1"/>
  <c r="G181" i="3" s="1"/>
  <c r="Q181" i="1"/>
  <c r="Q182" i="1"/>
  <c r="Q183" i="1"/>
  <c r="Q184" i="1"/>
  <c r="Q185" i="1"/>
  <c r="Q186" i="1"/>
  <c r="Q187" i="1"/>
  <c r="Q188" i="1"/>
  <c r="G189" i="3" s="1"/>
  <c r="Q189" i="1"/>
  <c r="G190" i="3" s="1"/>
  <c r="Q190" i="1"/>
  <c r="Q191" i="1"/>
  <c r="Q192" i="1"/>
  <c r="Q193" i="1"/>
  <c r="G194" i="3" s="1"/>
  <c r="Q194" i="1"/>
  <c r="G195" i="3" s="1"/>
  <c r="Q195" i="1"/>
  <c r="Q196" i="1"/>
  <c r="Q197" i="1"/>
  <c r="G198" i="3" s="1"/>
  <c r="Q198" i="1"/>
  <c r="G199" i="3" s="1"/>
  <c r="Q199" i="1"/>
  <c r="Q200" i="1"/>
  <c r="Q201" i="1"/>
  <c r="Q202" i="1"/>
  <c r="Q203" i="1"/>
  <c r="Q204" i="1"/>
  <c r="Q205" i="1"/>
  <c r="G206" i="3" s="1"/>
  <c r="Q206" i="1"/>
  <c r="Q207" i="1"/>
  <c r="Q208" i="1"/>
  <c r="Q209" i="1"/>
  <c r="G210" i="3" s="1"/>
  <c r="Q210" i="1"/>
  <c r="Q211" i="1"/>
  <c r="G212" i="3" s="1"/>
  <c r="Q212" i="1"/>
  <c r="G213" i="3" s="1"/>
  <c r="Q213" i="1"/>
  <c r="G214" i="3" s="1"/>
  <c r="Q214" i="1"/>
  <c r="G215" i="3" s="1"/>
  <c r="Q215" i="1"/>
  <c r="Q216" i="1"/>
  <c r="Q217" i="1"/>
  <c r="Q218" i="1"/>
  <c r="Q219" i="1"/>
  <c r="Q220" i="1"/>
  <c r="Q221" i="1"/>
  <c r="G222" i="3" s="1"/>
  <c r="Q222" i="1"/>
  <c r="Q223" i="1"/>
  <c r="Q224" i="1"/>
  <c r="Q225" i="1"/>
  <c r="Q226" i="1"/>
  <c r="G227" i="3" s="1"/>
  <c r="Q227" i="1"/>
  <c r="Q228" i="1"/>
  <c r="Q229" i="1"/>
  <c r="Q230" i="1"/>
  <c r="Q231" i="1"/>
  <c r="Q232" i="1"/>
  <c r="Q233" i="1"/>
  <c r="Q234" i="1"/>
  <c r="Q235" i="1"/>
  <c r="Q236" i="1"/>
  <c r="G237" i="3" s="1"/>
  <c r="Q237" i="1"/>
  <c r="Q238" i="1"/>
  <c r="Q239" i="1"/>
  <c r="Q240" i="1"/>
  <c r="G241" i="3" s="1"/>
  <c r="Q241" i="1"/>
  <c r="Q242" i="1"/>
  <c r="Q243" i="1"/>
  <c r="G244" i="3" s="1"/>
  <c r="Q244" i="1"/>
  <c r="Q245" i="1"/>
  <c r="G246" i="3" s="1"/>
  <c r="Q246" i="1"/>
  <c r="Q247" i="1"/>
  <c r="Q248" i="1"/>
  <c r="Q249" i="1"/>
  <c r="G250" i="3" s="1"/>
  <c r="Q250" i="1"/>
  <c r="Q251" i="1"/>
  <c r="Q252" i="1"/>
  <c r="G253" i="3" s="1"/>
  <c r="Q253" i="1"/>
  <c r="G254" i="3" s="1"/>
  <c r="Q254" i="1"/>
  <c r="Q255" i="1"/>
  <c r="Q256" i="1"/>
  <c r="G257" i="3" s="1"/>
  <c r="Q257" i="1"/>
  <c r="G258" i="3" s="1"/>
  <c r="Q258" i="1"/>
  <c r="Q259" i="1"/>
  <c r="Q260" i="1"/>
  <c r="Q261" i="1"/>
  <c r="G262" i="3" s="1"/>
  <c r="Q262" i="1"/>
  <c r="Q263" i="1"/>
  <c r="Q264" i="1"/>
  <c r="Q265" i="1"/>
  <c r="Q266" i="1"/>
  <c r="Q267" i="1"/>
  <c r="Q268" i="1"/>
  <c r="Q269" i="1"/>
  <c r="Q270" i="1"/>
  <c r="Q271" i="1"/>
  <c r="Q272" i="1"/>
  <c r="G273" i="3" s="1"/>
  <c r="Q273" i="1"/>
  <c r="Q274" i="1"/>
  <c r="Q275" i="1"/>
  <c r="Q276" i="1"/>
  <c r="Q277" i="1"/>
  <c r="G278" i="3" s="1"/>
  <c r="Q278" i="1"/>
  <c r="Q279" i="1"/>
  <c r="Q280" i="1"/>
  <c r="G281" i="3" s="1"/>
  <c r="Q281" i="1"/>
  <c r="G282" i="3" s="1"/>
  <c r="Q282" i="1"/>
  <c r="Q283" i="1"/>
  <c r="Q284" i="1"/>
  <c r="Q285" i="1"/>
  <c r="Q286" i="1"/>
  <c r="Q287" i="1"/>
  <c r="Q288" i="1"/>
  <c r="G289" i="3" s="1"/>
  <c r="Q289" i="1"/>
  <c r="Q290" i="1"/>
  <c r="Q291" i="1"/>
  <c r="G292" i="3" s="1"/>
  <c r="Q292" i="1"/>
  <c r="G293" i="3" s="1"/>
  <c r="Q293" i="1"/>
  <c r="Q294" i="1"/>
  <c r="Q295" i="1"/>
  <c r="Q296" i="1"/>
  <c r="Q297" i="1"/>
  <c r="Q298" i="1"/>
  <c r="Q299" i="1"/>
  <c r="Q300" i="1"/>
  <c r="G301" i="3" s="1"/>
  <c r="Q301" i="1"/>
  <c r="Q302" i="1"/>
  <c r="Q303" i="1"/>
  <c r="Q304" i="1"/>
  <c r="Q305" i="1"/>
  <c r="G306" i="3" s="1"/>
  <c r="Q306" i="1"/>
  <c r="Q307" i="1"/>
  <c r="Q308" i="1"/>
  <c r="Q309" i="1"/>
  <c r="Q310" i="1"/>
  <c r="Q311" i="1"/>
  <c r="Q312" i="1"/>
  <c r="Q313" i="1"/>
  <c r="G314" i="3" s="1"/>
  <c r="Q314" i="1"/>
  <c r="G315" i="3" s="1"/>
  <c r="Q315" i="1"/>
  <c r="Q316" i="1"/>
  <c r="Q317" i="1"/>
  <c r="G318" i="3" s="1"/>
  <c r="Q318" i="1"/>
  <c r="G319" i="3" s="1"/>
  <c r="Q319" i="1"/>
  <c r="Q320" i="1"/>
  <c r="Q321" i="1"/>
  <c r="G322" i="3" s="1"/>
  <c r="Q322" i="1"/>
  <c r="Q323" i="1"/>
  <c r="Q324" i="1"/>
  <c r="Q325" i="1"/>
  <c r="G326" i="3" s="1"/>
  <c r="Q326" i="1"/>
  <c r="Q327" i="1"/>
  <c r="Q328" i="1"/>
  <c r="G329" i="3" s="1"/>
  <c r="Q329" i="1"/>
  <c r="G330" i="3" s="1"/>
  <c r="Q330" i="1"/>
  <c r="G331" i="3" s="1"/>
  <c r="Q331" i="1"/>
  <c r="Q332" i="1"/>
  <c r="Q333" i="1"/>
  <c r="G334" i="3" s="1"/>
  <c r="Q334" i="1"/>
  <c r="Q335" i="1"/>
  <c r="Q336" i="1"/>
  <c r="Q337" i="1"/>
  <c r="G338" i="3" s="1"/>
  <c r="Q338" i="1"/>
  <c r="Q339" i="1"/>
  <c r="Q340" i="1"/>
  <c r="Q341" i="1"/>
  <c r="G342" i="3" s="1"/>
  <c r="Q342" i="1"/>
  <c r="Q343" i="1"/>
  <c r="Q344" i="1"/>
  <c r="Q345" i="1"/>
  <c r="G346" i="3" s="1"/>
  <c r="Q346" i="1"/>
  <c r="G347" i="3" s="1"/>
  <c r="Q347" i="1"/>
  <c r="Q348" i="1"/>
  <c r="Q349" i="1"/>
  <c r="G350" i="3" s="1"/>
  <c r="Q350" i="1"/>
  <c r="Q351" i="1"/>
  <c r="G352" i="3" s="1"/>
  <c r="Q352" i="1"/>
  <c r="G353" i="3" s="1"/>
  <c r="Q353" i="1"/>
  <c r="G354" i="3" s="1"/>
  <c r="Q354" i="1"/>
  <c r="Q355" i="1"/>
  <c r="Q356" i="1"/>
  <c r="Q357" i="1"/>
  <c r="G358" i="3" s="1"/>
  <c r="Q358" i="1"/>
  <c r="G359" i="3" s="1"/>
  <c r="Q359" i="1"/>
  <c r="Q360" i="1"/>
  <c r="Q361" i="1"/>
  <c r="Q362" i="1"/>
  <c r="Q363" i="1"/>
  <c r="Q364" i="1"/>
  <c r="Q365" i="1"/>
  <c r="G366" i="3" s="1"/>
  <c r="Q366" i="1"/>
  <c r="G367" i="3" s="1"/>
  <c r="Q367" i="1"/>
  <c r="Q368" i="1"/>
  <c r="G369" i="3" s="1"/>
  <c r="Q369" i="1"/>
  <c r="G370" i="3" s="1"/>
  <c r="Q370" i="1"/>
  <c r="G371" i="3" s="1"/>
  <c r="Q371" i="1"/>
  <c r="Q372" i="1"/>
  <c r="Q373" i="1"/>
  <c r="Q374" i="1"/>
  <c r="G375" i="3" s="1"/>
  <c r="Q375" i="1"/>
  <c r="Q376" i="1"/>
  <c r="G377" i="3" s="1"/>
  <c r="Q377" i="1"/>
  <c r="G378" i="3" s="1"/>
  <c r="Q378" i="1"/>
  <c r="G379" i="3" s="1"/>
  <c r="Q379" i="1"/>
  <c r="Q380" i="1"/>
  <c r="G381" i="3" s="1"/>
  <c r="Q381" i="1"/>
  <c r="Q382" i="1"/>
  <c r="G383" i="3" s="1"/>
  <c r="Q383" i="1"/>
  <c r="Q384" i="1"/>
  <c r="Q385" i="1"/>
  <c r="Q386" i="1"/>
  <c r="Q387" i="1"/>
  <c r="Q388" i="1"/>
  <c r="G389" i="3" s="1"/>
  <c r="Q389" i="1"/>
  <c r="Q390" i="1"/>
  <c r="Q391" i="1"/>
  <c r="Q392" i="1"/>
  <c r="G393" i="3" s="1"/>
  <c r="Q393" i="1"/>
  <c r="G394" i="3" s="1"/>
  <c r="Q394" i="1"/>
  <c r="G395" i="3" s="1"/>
  <c r="Q395" i="1"/>
  <c r="Q396" i="1"/>
  <c r="Q397" i="1"/>
  <c r="Q398" i="1"/>
  <c r="G399" i="3" s="1"/>
  <c r="Q399" i="1"/>
  <c r="Q400" i="1"/>
  <c r="Q401" i="1"/>
  <c r="G402" i="3" s="1"/>
  <c r="Q402" i="1"/>
  <c r="G403" i="3" s="1"/>
  <c r="Q403" i="1"/>
  <c r="Q404" i="1"/>
  <c r="Q405" i="1"/>
  <c r="G406" i="3" s="1"/>
  <c r="Q406" i="1"/>
  <c r="Q407" i="1"/>
  <c r="G408" i="3" s="1"/>
  <c r="Q408" i="1"/>
  <c r="G409" i="3" s="1"/>
  <c r="Q409" i="1"/>
  <c r="G410" i="3" s="1"/>
  <c r="Q410" i="1"/>
  <c r="Q411" i="1"/>
  <c r="Q412" i="1"/>
  <c r="G413" i="3" s="1"/>
  <c r="Q413" i="1"/>
  <c r="G414" i="3" s="1"/>
  <c r="Q414" i="1"/>
  <c r="Q415" i="1"/>
  <c r="G416" i="3" s="1"/>
  <c r="Q416" i="1"/>
  <c r="Q417" i="1"/>
  <c r="G418" i="3" s="1"/>
  <c r="Q418" i="1"/>
  <c r="Q419" i="1"/>
  <c r="Q420" i="1"/>
  <c r="G421" i="3" s="1"/>
  <c r="Q421" i="1"/>
  <c r="G422" i="3" s="1"/>
  <c r="Q422" i="1"/>
  <c r="Q423" i="1"/>
  <c r="Q424" i="1"/>
  <c r="G425" i="3" s="1"/>
  <c r="Q425" i="1"/>
  <c r="Q426" i="1"/>
  <c r="Q427" i="1"/>
  <c r="Q428" i="1"/>
  <c r="Q429" i="1"/>
  <c r="G430" i="3" s="1"/>
  <c r="Q430" i="1"/>
  <c r="G431" i="3" s="1"/>
  <c r="P4" i="1"/>
  <c r="F5" i="3" s="1"/>
  <c r="P5" i="1"/>
  <c r="F6" i="3" s="1"/>
  <c r="P6" i="1"/>
  <c r="P7" i="1"/>
  <c r="P8" i="1"/>
  <c r="P9" i="1"/>
  <c r="F10" i="3" s="1"/>
  <c r="P10" i="1"/>
  <c r="P11" i="1"/>
  <c r="P12" i="1"/>
  <c r="P13" i="1"/>
  <c r="P14" i="1"/>
  <c r="P15" i="1"/>
  <c r="P16" i="1"/>
  <c r="P17" i="1"/>
  <c r="F18" i="3" s="1"/>
  <c r="P18" i="1"/>
  <c r="F19" i="3" s="1"/>
  <c r="P19" i="1"/>
  <c r="P20" i="1"/>
  <c r="P21" i="1"/>
  <c r="F22" i="3" s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F36" i="3" s="1"/>
  <c r="P36" i="1"/>
  <c r="P37" i="1"/>
  <c r="F38" i="3" s="1"/>
  <c r="P38" i="1"/>
  <c r="P39" i="1"/>
  <c r="P40" i="1"/>
  <c r="P41" i="1"/>
  <c r="F42" i="3" s="1"/>
  <c r="P42" i="1"/>
  <c r="F43" i="3" s="1"/>
  <c r="P43" i="1"/>
  <c r="P44" i="1"/>
  <c r="P45" i="1"/>
  <c r="P46" i="1"/>
  <c r="P47" i="1"/>
  <c r="P48" i="1"/>
  <c r="P49" i="1"/>
  <c r="F50" i="3" s="1"/>
  <c r="P50" i="1"/>
  <c r="F51" i="3" s="1"/>
  <c r="P51" i="1"/>
  <c r="F52" i="3" s="1"/>
  <c r="P52" i="1"/>
  <c r="P53" i="1"/>
  <c r="P54" i="1"/>
  <c r="P55" i="1"/>
  <c r="P56" i="1"/>
  <c r="P57" i="1"/>
  <c r="F58" i="3" s="1"/>
  <c r="P58" i="1"/>
  <c r="F59" i="3" s="1"/>
  <c r="P59" i="1"/>
  <c r="P60" i="1"/>
  <c r="P61" i="1"/>
  <c r="F62" i="3" s="1"/>
  <c r="P62" i="1"/>
  <c r="F63" i="3" s="1"/>
  <c r="P63" i="1"/>
  <c r="P64" i="1"/>
  <c r="P65" i="1"/>
  <c r="P66" i="1"/>
  <c r="P67" i="1"/>
  <c r="P68" i="1"/>
  <c r="P69" i="1"/>
  <c r="F70" i="3" s="1"/>
  <c r="P70" i="1"/>
  <c r="P71" i="1"/>
  <c r="P72" i="1"/>
  <c r="P73" i="1"/>
  <c r="P74" i="1"/>
  <c r="P75" i="1"/>
  <c r="P76" i="1"/>
  <c r="P77" i="1"/>
  <c r="F78" i="3" s="1"/>
  <c r="P78" i="1"/>
  <c r="P79" i="1"/>
  <c r="P80" i="1"/>
  <c r="P81" i="1"/>
  <c r="P82" i="1"/>
  <c r="P83" i="1"/>
  <c r="P84" i="1"/>
  <c r="P85" i="1"/>
  <c r="P86" i="1"/>
  <c r="F87" i="3" s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F103" i="3" s="1"/>
  <c r="P103" i="1"/>
  <c r="P104" i="1"/>
  <c r="P105" i="1"/>
  <c r="P106" i="1"/>
  <c r="P107" i="1"/>
  <c r="P108" i="1"/>
  <c r="P109" i="1"/>
  <c r="P110" i="1"/>
  <c r="P111" i="1"/>
  <c r="P112" i="1"/>
  <c r="P113" i="1"/>
  <c r="F114" i="3" s="1"/>
  <c r="P114" i="1"/>
  <c r="F115" i="3" s="1"/>
  <c r="P115" i="1"/>
  <c r="P116" i="1"/>
  <c r="P117" i="1"/>
  <c r="P118" i="1"/>
  <c r="F119" i="3" s="1"/>
  <c r="P119" i="1"/>
  <c r="P120" i="1"/>
  <c r="P121" i="1"/>
  <c r="P122" i="1"/>
  <c r="F123" i="3" s="1"/>
  <c r="P123" i="1"/>
  <c r="P124" i="1"/>
  <c r="P125" i="1"/>
  <c r="P126" i="1"/>
  <c r="F127" i="3" s="1"/>
  <c r="P127" i="1"/>
  <c r="P128" i="1"/>
  <c r="P129" i="1"/>
  <c r="P130" i="1"/>
  <c r="P131" i="1"/>
  <c r="P132" i="1"/>
  <c r="P133" i="1"/>
  <c r="F134" i="3" s="1"/>
  <c r="P134" i="1"/>
  <c r="P135" i="1"/>
  <c r="P136" i="1"/>
  <c r="P137" i="1"/>
  <c r="F138" i="3" s="1"/>
  <c r="P138" i="1"/>
  <c r="P139" i="1"/>
  <c r="P140" i="1"/>
  <c r="P141" i="1"/>
  <c r="P142" i="1"/>
  <c r="P143" i="1"/>
  <c r="P144" i="1"/>
  <c r="P145" i="1"/>
  <c r="P146" i="1"/>
  <c r="F147" i="3" s="1"/>
  <c r="P147" i="1"/>
  <c r="P148" i="1"/>
  <c r="P149" i="1"/>
  <c r="P150" i="1"/>
  <c r="P151" i="1"/>
  <c r="P152" i="1"/>
  <c r="P153" i="1"/>
  <c r="F154" i="3" s="1"/>
  <c r="P154" i="1"/>
  <c r="P155" i="1"/>
  <c r="P156" i="1"/>
  <c r="P157" i="1"/>
  <c r="F158" i="3" s="1"/>
  <c r="P158" i="1"/>
  <c r="F159" i="3" s="1"/>
  <c r="P159" i="1"/>
  <c r="P160" i="1"/>
  <c r="P161" i="1"/>
  <c r="P162" i="1"/>
  <c r="P163" i="1"/>
  <c r="P164" i="1"/>
  <c r="F165" i="3" s="1"/>
  <c r="P165" i="1"/>
  <c r="F166" i="3" s="1"/>
  <c r="P166" i="1"/>
  <c r="F167" i="3" s="1"/>
  <c r="P167" i="1"/>
  <c r="P168" i="1"/>
  <c r="F169" i="3" s="1"/>
  <c r="P169" i="1"/>
  <c r="P170" i="1"/>
  <c r="P171" i="1"/>
  <c r="P172" i="1"/>
  <c r="P173" i="1"/>
  <c r="F174" i="3" s="1"/>
  <c r="P174" i="1"/>
  <c r="P175" i="1"/>
  <c r="P176" i="1"/>
  <c r="P177" i="1"/>
  <c r="F178" i="3" s="1"/>
  <c r="P178" i="1"/>
  <c r="F179" i="3" s="1"/>
  <c r="P179" i="1"/>
  <c r="P180" i="1"/>
  <c r="F181" i="3" s="1"/>
  <c r="P181" i="1"/>
  <c r="P182" i="1"/>
  <c r="F183" i="3" s="1"/>
  <c r="P183" i="1"/>
  <c r="P184" i="1"/>
  <c r="P185" i="1"/>
  <c r="P186" i="1"/>
  <c r="F187" i="3" s="1"/>
  <c r="P187" i="1"/>
  <c r="P188" i="1"/>
  <c r="F189" i="3" s="1"/>
  <c r="P189" i="1"/>
  <c r="F190" i="3" s="1"/>
  <c r="P190" i="1"/>
  <c r="F191" i="3" s="1"/>
  <c r="P191" i="1"/>
  <c r="P192" i="1"/>
  <c r="P193" i="1"/>
  <c r="F194" i="3" s="1"/>
  <c r="P194" i="1"/>
  <c r="F195" i="3" s="1"/>
  <c r="P195" i="1"/>
  <c r="P196" i="1"/>
  <c r="P197" i="1"/>
  <c r="F198" i="3" s="1"/>
  <c r="P198" i="1"/>
  <c r="F199" i="3" s="1"/>
  <c r="P199" i="1"/>
  <c r="P200" i="1"/>
  <c r="P201" i="1"/>
  <c r="P202" i="1"/>
  <c r="F203" i="3" s="1"/>
  <c r="P203" i="1"/>
  <c r="P204" i="1"/>
  <c r="P205" i="1"/>
  <c r="F206" i="3" s="1"/>
  <c r="P206" i="1"/>
  <c r="F207" i="3" s="1"/>
  <c r="P207" i="1"/>
  <c r="P208" i="1"/>
  <c r="P209" i="1"/>
  <c r="F210" i="3" s="1"/>
  <c r="P210" i="1"/>
  <c r="P211" i="1"/>
  <c r="F212" i="3" s="1"/>
  <c r="P212" i="1"/>
  <c r="F213" i="3" s="1"/>
  <c r="P213" i="1"/>
  <c r="F214" i="3" s="1"/>
  <c r="P214" i="1"/>
  <c r="F215" i="3" s="1"/>
  <c r="P215" i="1"/>
  <c r="P216" i="1"/>
  <c r="P217" i="1"/>
  <c r="P218" i="1"/>
  <c r="P219" i="1"/>
  <c r="P220" i="1"/>
  <c r="P221" i="1"/>
  <c r="F222" i="3" s="1"/>
  <c r="P222" i="1"/>
  <c r="P223" i="1"/>
  <c r="P224" i="1"/>
  <c r="P225" i="1"/>
  <c r="P226" i="1"/>
  <c r="F227" i="3" s="1"/>
  <c r="P227" i="1"/>
  <c r="P228" i="1"/>
  <c r="P229" i="1"/>
  <c r="P230" i="1"/>
  <c r="F231" i="3" s="1"/>
  <c r="P231" i="1"/>
  <c r="P232" i="1"/>
  <c r="P233" i="1"/>
  <c r="P234" i="1"/>
  <c r="P235" i="1"/>
  <c r="P236" i="1"/>
  <c r="F237" i="3" s="1"/>
  <c r="P237" i="1"/>
  <c r="P238" i="1"/>
  <c r="F239" i="3" s="1"/>
  <c r="P239" i="1"/>
  <c r="P240" i="1"/>
  <c r="P241" i="1"/>
  <c r="P242" i="1"/>
  <c r="P243" i="1"/>
  <c r="P244" i="1"/>
  <c r="P245" i="1"/>
  <c r="F246" i="3" s="1"/>
  <c r="P246" i="1"/>
  <c r="F247" i="3" s="1"/>
  <c r="P247" i="1"/>
  <c r="P248" i="1"/>
  <c r="P249" i="1"/>
  <c r="F250" i="3" s="1"/>
  <c r="P250" i="1"/>
  <c r="F251" i="3" s="1"/>
  <c r="P251" i="1"/>
  <c r="P252" i="1"/>
  <c r="P253" i="1"/>
  <c r="F254" i="3" s="1"/>
  <c r="P254" i="1"/>
  <c r="F255" i="3" s="1"/>
  <c r="P255" i="1"/>
  <c r="P256" i="1"/>
  <c r="F257" i="3" s="1"/>
  <c r="P257" i="1"/>
  <c r="F258" i="3" s="1"/>
  <c r="P258" i="1"/>
  <c r="F259" i="3" s="1"/>
  <c r="P259" i="1"/>
  <c r="P260" i="1"/>
  <c r="P261" i="1"/>
  <c r="F262" i="3" s="1"/>
  <c r="P262" i="1"/>
  <c r="P263" i="1"/>
  <c r="P264" i="1"/>
  <c r="P265" i="1"/>
  <c r="P266" i="1"/>
  <c r="P267" i="1"/>
  <c r="P268" i="1"/>
  <c r="P269" i="1"/>
  <c r="P270" i="1"/>
  <c r="F271" i="3" s="1"/>
  <c r="P271" i="1"/>
  <c r="P272" i="1"/>
  <c r="F273" i="3" s="1"/>
  <c r="P273" i="1"/>
  <c r="P274" i="1"/>
  <c r="F275" i="3" s="1"/>
  <c r="P275" i="1"/>
  <c r="P276" i="1"/>
  <c r="P277" i="1"/>
  <c r="F278" i="3" s="1"/>
  <c r="P278" i="1"/>
  <c r="P279" i="1"/>
  <c r="P280" i="1"/>
  <c r="F281" i="3" s="1"/>
  <c r="P281" i="1"/>
  <c r="F282" i="3" s="1"/>
  <c r="P282" i="1"/>
  <c r="P283" i="1"/>
  <c r="P284" i="1"/>
  <c r="P285" i="1"/>
  <c r="P286" i="1"/>
  <c r="F287" i="3" s="1"/>
  <c r="P287" i="1"/>
  <c r="P288" i="1"/>
  <c r="F289" i="3" s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F306" i="3" s="1"/>
  <c r="P306" i="1"/>
  <c r="F307" i="3" s="1"/>
  <c r="P307" i="1"/>
  <c r="P308" i="1"/>
  <c r="P309" i="1"/>
  <c r="P310" i="1"/>
  <c r="F311" i="3" s="1"/>
  <c r="P311" i="1"/>
  <c r="P312" i="1"/>
  <c r="P313" i="1"/>
  <c r="F314" i="3" s="1"/>
  <c r="P314" i="1"/>
  <c r="F315" i="3" s="1"/>
  <c r="P315" i="1"/>
  <c r="P316" i="1"/>
  <c r="P317" i="1"/>
  <c r="F318" i="3" s="1"/>
  <c r="P318" i="1"/>
  <c r="F319" i="3" s="1"/>
  <c r="P319" i="1"/>
  <c r="P320" i="1"/>
  <c r="P321" i="1"/>
  <c r="F322" i="3" s="1"/>
  <c r="P322" i="1"/>
  <c r="P323" i="1"/>
  <c r="P324" i="1"/>
  <c r="P325" i="1"/>
  <c r="F326" i="3" s="1"/>
  <c r="P326" i="1"/>
  <c r="P327" i="1"/>
  <c r="P328" i="1"/>
  <c r="P329" i="1"/>
  <c r="F330" i="3" s="1"/>
  <c r="P330" i="1"/>
  <c r="F331" i="3" s="1"/>
  <c r="P331" i="1"/>
  <c r="P332" i="1"/>
  <c r="P333" i="1"/>
  <c r="F334" i="3" s="1"/>
  <c r="P334" i="1"/>
  <c r="P335" i="1"/>
  <c r="P336" i="1"/>
  <c r="P337" i="1"/>
  <c r="F338" i="3" s="1"/>
  <c r="P338" i="1"/>
  <c r="P339" i="1"/>
  <c r="P340" i="1"/>
  <c r="P341" i="1"/>
  <c r="F342" i="3" s="1"/>
  <c r="P342" i="1"/>
  <c r="F343" i="3" s="1"/>
  <c r="P343" i="1"/>
  <c r="P344" i="1"/>
  <c r="P345" i="1"/>
  <c r="F346" i="3" s="1"/>
  <c r="P346" i="1"/>
  <c r="F347" i="3" s="1"/>
  <c r="P347" i="1"/>
  <c r="P348" i="1"/>
  <c r="P349" i="1"/>
  <c r="F350" i="3" s="1"/>
  <c r="P350" i="1"/>
  <c r="P351" i="1"/>
  <c r="F352" i="3" s="1"/>
  <c r="P352" i="1"/>
  <c r="P353" i="1"/>
  <c r="F354" i="3" s="1"/>
  <c r="P354" i="1"/>
  <c r="P355" i="1"/>
  <c r="P356" i="1"/>
  <c r="P357" i="1"/>
  <c r="F358" i="3" s="1"/>
  <c r="P358" i="1"/>
  <c r="F359" i="3" s="1"/>
  <c r="P359" i="1"/>
  <c r="P360" i="1"/>
  <c r="P361" i="1"/>
  <c r="P362" i="1"/>
  <c r="F363" i="3" s="1"/>
  <c r="P363" i="1"/>
  <c r="P364" i="1"/>
  <c r="P365" i="1"/>
  <c r="F366" i="3" s="1"/>
  <c r="P366" i="1"/>
  <c r="F367" i="3" s="1"/>
  <c r="P367" i="1"/>
  <c r="P368" i="1"/>
  <c r="F369" i="3" s="1"/>
  <c r="P369" i="1"/>
  <c r="F370" i="3" s="1"/>
  <c r="P370" i="1"/>
  <c r="F371" i="3" s="1"/>
  <c r="P371" i="1"/>
  <c r="P372" i="1"/>
  <c r="P373" i="1"/>
  <c r="P374" i="1"/>
  <c r="F375" i="3" s="1"/>
  <c r="P375" i="1"/>
  <c r="P376" i="1"/>
  <c r="F377" i="3" s="1"/>
  <c r="P377" i="1"/>
  <c r="F378" i="3" s="1"/>
  <c r="P378" i="1"/>
  <c r="F379" i="3" s="1"/>
  <c r="P379" i="1"/>
  <c r="P380" i="1"/>
  <c r="F381" i="3" s="1"/>
  <c r="P381" i="1"/>
  <c r="P382" i="1"/>
  <c r="F383" i="3" s="1"/>
  <c r="P383" i="1"/>
  <c r="P384" i="1"/>
  <c r="P385" i="1"/>
  <c r="P386" i="1"/>
  <c r="F387" i="3" s="1"/>
  <c r="P387" i="1"/>
  <c r="P388" i="1"/>
  <c r="F389" i="3" s="1"/>
  <c r="P389" i="1"/>
  <c r="P390" i="1"/>
  <c r="F391" i="3" s="1"/>
  <c r="P391" i="1"/>
  <c r="P392" i="1"/>
  <c r="P393" i="1"/>
  <c r="F394" i="3" s="1"/>
  <c r="P394" i="1"/>
  <c r="F395" i="3" s="1"/>
  <c r="P395" i="1"/>
  <c r="P396" i="1"/>
  <c r="P397" i="1"/>
  <c r="P398" i="1"/>
  <c r="F399" i="3" s="1"/>
  <c r="P399" i="1"/>
  <c r="P400" i="1"/>
  <c r="P401" i="1"/>
  <c r="F402" i="3" s="1"/>
  <c r="P402" i="1"/>
  <c r="F403" i="3" s="1"/>
  <c r="P403" i="1"/>
  <c r="P404" i="1"/>
  <c r="P405" i="1"/>
  <c r="F406" i="3" s="1"/>
  <c r="P406" i="1"/>
  <c r="F407" i="3" s="1"/>
  <c r="P407" i="1"/>
  <c r="F408" i="3" s="1"/>
  <c r="P408" i="1"/>
  <c r="P409" i="1"/>
  <c r="F410" i="3" s="1"/>
  <c r="P410" i="1"/>
  <c r="P411" i="1"/>
  <c r="P412" i="1"/>
  <c r="F413" i="3" s="1"/>
  <c r="P413" i="1"/>
  <c r="F414" i="3" s="1"/>
  <c r="P414" i="1"/>
  <c r="F415" i="3" s="1"/>
  <c r="P415" i="1"/>
  <c r="F416" i="3" s="1"/>
  <c r="P416" i="1"/>
  <c r="P417" i="1"/>
  <c r="F418" i="3" s="1"/>
  <c r="P418" i="1"/>
  <c r="F419" i="3" s="1"/>
  <c r="P419" i="1"/>
  <c r="P420" i="1"/>
  <c r="F421" i="3" s="1"/>
  <c r="P421" i="1"/>
  <c r="F422" i="3" s="1"/>
  <c r="P422" i="1"/>
  <c r="F423" i="3" s="1"/>
  <c r="P423" i="1"/>
  <c r="P424" i="1"/>
  <c r="P425" i="1"/>
  <c r="P426" i="1"/>
  <c r="F427" i="3" s="1"/>
  <c r="P427" i="1"/>
  <c r="P428" i="1"/>
  <c r="P429" i="1"/>
  <c r="F430" i="3" s="1"/>
  <c r="P430" i="1"/>
  <c r="F431" i="3" s="1"/>
  <c r="O4" i="1"/>
  <c r="E5" i="3" s="1"/>
  <c r="O5" i="1"/>
  <c r="E6" i="3" s="1"/>
  <c r="O6" i="1"/>
  <c r="O7" i="1"/>
  <c r="O8" i="1"/>
  <c r="O9" i="1"/>
  <c r="E10" i="3" s="1"/>
  <c r="O10" i="1"/>
  <c r="E11" i="3" s="1"/>
  <c r="O11" i="1"/>
  <c r="O12" i="1"/>
  <c r="O13" i="1"/>
  <c r="O14" i="1"/>
  <c r="O15" i="1"/>
  <c r="O16" i="1"/>
  <c r="O17" i="1"/>
  <c r="E18" i="3" s="1"/>
  <c r="O18" i="1"/>
  <c r="O19" i="1"/>
  <c r="O20" i="1"/>
  <c r="O21" i="1"/>
  <c r="E22" i="3" s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E36" i="3" s="1"/>
  <c r="O36" i="1"/>
  <c r="E37" i="3" s="1"/>
  <c r="O37" i="1"/>
  <c r="E38" i="3" s="1"/>
  <c r="O38" i="1"/>
  <c r="O39" i="1"/>
  <c r="O40" i="1"/>
  <c r="O41" i="1"/>
  <c r="E42" i="3" s="1"/>
  <c r="O42" i="1"/>
  <c r="E43" i="3" s="1"/>
  <c r="O43" i="1"/>
  <c r="O44" i="1"/>
  <c r="O45" i="1"/>
  <c r="O46" i="1"/>
  <c r="O47" i="1"/>
  <c r="O48" i="1"/>
  <c r="O49" i="1"/>
  <c r="E50" i="3" s="1"/>
  <c r="O50" i="1"/>
  <c r="E51" i="3" s="1"/>
  <c r="O51" i="1"/>
  <c r="E52" i="3" s="1"/>
  <c r="O52" i="1"/>
  <c r="O53" i="1"/>
  <c r="O54" i="1"/>
  <c r="O55" i="1"/>
  <c r="O56" i="1"/>
  <c r="O57" i="1"/>
  <c r="E58" i="3" s="1"/>
  <c r="O58" i="1"/>
  <c r="E59" i="3" s="1"/>
  <c r="O59" i="1"/>
  <c r="O60" i="1"/>
  <c r="O61" i="1"/>
  <c r="E62" i="3" s="1"/>
  <c r="O62" i="1"/>
  <c r="O63" i="1"/>
  <c r="O64" i="1"/>
  <c r="O65" i="1"/>
  <c r="O66" i="1"/>
  <c r="O67" i="1"/>
  <c r="O68" i="1"/>
  <c r="O69" i="1"/>
  <c r="E70" i="3" s="1"/>
  <c r="O70" i="1"/>
  <c r="O71" i="1"/>
  <c r="O72" i="1"/>
  <c r="O73" i="1"/>
  <c r="O74" i="1"/>
  <c r="O75" i="1"/>
  <c r="O76" i="1"/>
  <c r="O77" i="1"/>
  <c r="E78" i="3" s="1"/>
  <c r="O78" i="1"/>
  <c r="O79" i="1"/>
  <c r="O80" i="1"/>
  <c r="O81" i="1"/>
  <c r="O82" i="1"/>
  <c r="O83" i="1"/>
  <c r="O84" i="1"/>
  <c r="O85" i="1"/>
  <c r="O86" i="1"/>
  <c r="E87" i="3" s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E103" i="3" s="1"/>
  <c r="O103" i="1"/>
  <c r="O104" i="1"/>
  <c r="O105" i="1"/>
  <c r="O106" i="1"/>
  <c r="O107" i="1"/>
  <c r="O108" i="1"/>
  <c r="O109" i="1"/>
  <c r="O110" i="1"/>
  <c r="O111" i="1"/>
  <c r="O112" i="1"/>
  <c r="O113" i="1"/>
  <c r="E114" i="3" s="1"/>
  <c r="O114" i="1"/>
  <c r="O115" i="1"/>
  <c r="O116" i="1"/>
  <c r="O117" i="1"/>
  <c r="O118" i="1"/>
  <c r="E119" i="3" s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E134" i="3" s="1"/>
  <c r="O134" i="1"/>
  <c r="O135" i="1"/>
  <c r="O136" i="1"/>
  <c r="O137" i="1"/>
  <c r="E138" i="3" s="1"/>
  <c r="O138" i="1"/>
  <c r="O139" i="1"/>
  <c r="O140" i="1"/>
  <c r="O141" i="1"/>
  <c r="O142" i="1"/>
  <c r="O143" i="1"/>
  <c r="O144" i="1"/>
  <c r="O145" i="1"/>
  <c r="O146" i="1"/>
  <c r="E147" i="3" s="1"/>
  <c r="O147" i="1"/>
  <c r="O148" i="1"/>
  <c r="E149" i="3" s="1"/>
  <c r="O149" i="1"/>
  <c r="O150" i="1"/>
  <c r="O151" i="1"/>
  <c r="O152" i="1"/>
  <c r="O153" i="1"/>
  <c r="E154" i="3" s="1"/>
  <c r="O154" i="1"/>
  <c r="O155" i="1"/>
  <c r="O156" i="1"/>
  <c r="O157" i="1"/>
  <c r="E158" i="3" s="1"/>
  <c r="O158" i="1"/>
  <c r="O159" i="1"/>
  <c r="O160" i="1"/>
  <c r="O161" i="1"/>
  <c r="O162" i="1"/>
  <c r="O163" i="1"/>
  <c r="O164" i="1"/>
  <c r="E165" i="3" s="1"/>
  <c r="O165" i="1"/>
  <c r="E166" i="3" s="1"/>
  <c r="O166" i="1"/>
  <c r="O167" i="1"/>
  <c r="O168" i="1"/>
  <c r="E169" i="3" s="1"/>
  <c r="O169" i="1"/>
  <c r="O170" i="1"/>
  <c r="O171" i="1"/>
  <c r="O172" i="1"/>
  <c r="O173" i="1"/>
  <c r="E174" i="3" s="1"/>
  <c r="O174" i="1"/>
  <c r="O175" i="1"/>
  <c r="O176" i="1"/>
  <c r="O177" i="1"/>
  <c r="E178" i="3" s="1"/>
  <c r="O178" i="1"/>
  <c r="E179" i="3" s="1"/>
  <c r="O179" i="1"/>
  <c r="O180" i="1"/>
  <c r="E181" i="3" s="1"/>
  <c r="O181" i="1"/>
  <c r="O182" i="1"/>
  <c r="O183" i="1"/>
  <c r="O184" i="1"/>
  <c r="O185" i="1"/>
  <c r="O186" i="1"/>
  <c r="O187" i="1"/>
  <c r="O188" i="1"/>
  <c r="E189" i="3" s="1"/>
  <c r="O189" i="1"/>
  <c r="E190" i="3" s="1"/>
  <c r="O190" i="1"/>
  <c r="E191" i="3" s="1"/>
  <c r="O191" i="1"/>
  <c r="O192" i="1"/>
  <c r="O193" i="1"/>
  <c r="E194" i="3" s="1"/>
  <c r="O194" i="1"/>
  <c r="E195" i="3" s="1"/>
  <c r="O195" i="1"/>
  <c r="O196" i="1"/>
  <c r="O197" i="1"/>
  <c r="E198" i="3" s="1"/>
  <c r="O198" i="1"/>
  <c r="E199" i="3" s="1"/>
  <c r="O199" i="1"/>
  <c r="O200" i="1"/>
  <c r="O201" i="1"/>
  <c r="O202" i="1"/>
  <c r="O203" i="1"/>
  <c r="O204" i="1"/>
  <c r="O205" i="1"/>
  <c r="E206" i="3" s="1"/>
  <c r="O206" i="1"/>
  <c r="E207" i="3" s="1"/>
  <c r="O207" i="1"/>
  <c r="O208" i="1"/>
  <c r="O209" i="1"/>
  <c r="E210" i="3" s="1"/>
  <c r="O210" i="1"/>
  <c r="O211" i="1"/>
  <c r="E212" i="3" s="1"/>
  <c r="O212" i="1"/>
  <c r="E213" i="3" s="1"/>
  <c r="O213" i="1"/>
  <c r="E214" i="3" s="1"/>
  <c r="O214" i="1"/>
  <c r="E215" i="3" s="1"/>
  <c r="O215" i="1"/>
  <c r="O216" i="1"/>
  <c r="O217" i="1"/>
  <c r="O218" i="1"/>
  <c r="O219" i="1"/>
  <c r="O220" i="1"/>
  <c r="O221" i="1"/>
  <c r="E222" i="3" s="1"/>
  <c r="O222" i="1"/>
  <c r="O223" i="1"/>
  <c r="O224" i="1"/>
  <c r="O225" i="1"/>
  <c r="O226" i="1"/>
  <c r="E227" i="3" s="1"/>
  <c r="O227" i="1"/>
  <c r="O228" i="1"/>
  <c r="O229" i="1"/>
  <c r="O230" i="1"/>
  <c r="O231" i="1"/>
  <c r="O232" i="1"/>
  <c r="O233" i="1"/>
  <c r="O234" i="1"/>
  <c r="O235" i="1"/>
  <c r="O236" i="1"/>
  <c r="E237" i="3" s="1"/>
  <c r="O237" i="1"/>
  <c r="O238" i="1"/>
  <c r="O239" i="1"/>
  <c r="O240" i="1"/>
  <c r="E241" i="3" s="1"/>
  <c r="O241" i="1"/>
  <c r="O242" i="1"/>
  <c r="O243" i="1"/>
  <c r="O244" i="1"/>
  <c r="O245" i="1"/>
  <c r="E246" i="3" s="1"/>
  <c r="O246" i="1"/>
  <c r="E247" i="3" s="1"/>
  <c r="O247" i="1"/>
  <c r="O248" i="1"/>
  <c r="O249" i="1"/>
  <c r="E250" i="3" s="1"/>
  <c r="O250" i="1"/>
  <c r="O251" i="1"/>
  <c r="O252" i="1"/>
  <c r="E253" i="3" s="1"/>
  <c r="O253" i="1"/>
  <c r="E254" i="3" s="1"/>
  <c r="O254" i="1"/>
  <c r="O255" i="1"/>
  <c r="O256" i="1"/>
  <c r="E257" i="3" s="1"/>
  <c r="O257" i="1"/>
  <c r="E258" i="3" s="1"/>
  <c r="O258" i="1"/>
  <c r="E259" i="3" s="1"/>
  <c r="O259" i="1"/>
  <c r="O260" i="1"/>
  <c r="O261" i="1"/>
  <c r="E262" i="3" s="1"/>
  <c r="O262" i="1"/>
  <c r="O263" i="1"/>
  <c r="O264" i="1"/>
  <c r="O265" i="1"/>
  <c r="O266" i="1"/>
  <c r="O267" i="1"/>
  <c r="O268" i="1"/>
  <c r="O269" i="1"/>
  <c r="O270" i="1"/>
  <c r="E271" i="3" s="1"/>
  <c r="O271" i="1"/>
  <c r="O272" i="1"/>
  <c r="E273" i="3" s="1"/>
  <c r="O273" i="1"/>
  <c r="O274" i="1"/>
  <c r="E275" i="3" s="1"/>
  <c r="O275" i="1"/>
  <c r="O276" i="1"/>
  <c r="O277" i="1"/>
  <c r="E278" i="3" s="1"/>
  <c r="O278" i="1"/>
  <c r="O279" i="1"/>
  <c r="O280" i="1"/>
  <c r="E281" i="3" s="1"/>
  <c r="O281" i="1"/>
  <c r="E282" i="3" s="1"/>
  <c r="O282" i="1"/>
  <c r="O283" i="1"/>
  <c r="O284" i="1"/>
  <c r="O285" i="1"/>
  <c r="O286" i="1"/>
  <c r="O287" i="1"/>
  <c r="O288" i="1"/>
  <c r="E289" i="3" s="1"/>
  <c r="O289" i="1"/>
  <c r="O290" i="1"/>
  <c r="O291" i="1"/>
  <c r="O292" i="1"/>
  <c r="E293" i="3" s="1"/>
  <c r="O293" i="1"/>
  <c r="O294" i="1"/>
  <c r="O295" i="1"/>
  <c r="O296" i="1"/>
  <c r="O297" i="1"/>
  <c r="O298" i="1"/>
  <c r="O299" i="1"/>
  <c r="O300" i="1"/>
  <c r="E301" i="3" s="1"/>
  <c r="O301" i="1"/>
  <c r="O302" i="1"/>
  <c r="O303" i="1"/>
  <c r="O304" i="1"/>
  <c r="O305" i="1"/>
  <c r="E306" i="3" s="1"/>
  <c r="O306" i="1"/>
  <c r="E307" i="3" s="1"/>
  <c r="O307" i="1"/>
  <c r="O308" i="1"/>
  <c r="O309" i="1"/>
  <c r="O310" i="1"/>
  <c r="E311" i="3" s="1"/>
  <c r="O311" i="1"/>
  <c r="O312" i="1"/>
  <c r="O313" i="1"/>
  <c r="E314" i="3" s="1"/>
  <c r="O314" i="1"/>
  <c r="E315" i="3" s="1"/>
  <c r="O315" i="1"/>
  <c r="O316" i="1"/>
  <c r="O317" i="1"/>
  <c r="E318" i="3" s="1"/>
  <c r="O318" i="1"/>
  <c r="E319" i="3" s="1"/>
  <c r="O319" i="1"/>
  <c r="O320" i="1"/>
  <c r="O321" i="1"/>
  <c r="E322" i="3" s="1"/>
  <c r="O322" i="1"/>
  <c r="O323" i="1"/>
  <c r="O324" i="1"/>
  <c r="O325" i="1"/>
  <c r="E326" i="3" s="1"/>
  <c r="O326" i="1"/>
  <c r="O327" i="1"/>
  <c r="O328" i="1"/>
  <c r="E329" i="3" s="1"/>
  <c r="O329" i="1"/>
  <c r="E330" i="3" s="1"/>
  <c r="O330" i="1"/>
  <c r="E331" i="3" s="1"/>
  <c r="O331" i="1"/>
  <c r="O332" i="1"/>
  <c r="O333" i="1"/>
  <c r="E334" i="3" s="1"/>
  <c r="O334" i="1"/>
  <c r="O335" i="1"/>
  <c r="O336" i="1"/>
  <c r="O337" i="1"/>
  <c r="E338" i="3" s="1"/>
  <c r="O338" i="1"/>
  <c r="O339" i="1"/>
  <c r="O340" i="1"/>
  <c r="O341" i="1"/>
  <c r="E342" i="3" s="1"/>
  <c r="O342" i="1"/>
  <c r="E343" i="3" s="1"/>
  <c r="O343" i="1"/>
  <c r="O344" i="1"/>
  <c r="O345" i="1"/>
  <c r="E346" i="3" s="1"/>
  <c r="O346" i="1"/>
  <c r="E347" i="3" s="1"/>
  <c r="O347" i="1"/>
  <c r="O348" i="1"/>
  <c r="O349" i="1"/>
  <c r="E350" i="3" s="1"/>
  <c r="O350" i="1"/>
  <c r="O351" i="1"/>
  <c r="E352" i="3" s="1"/>
  <c r="O352" i="1"/>
  <c r="E353" i="3" s="1"/>
  <c r="O353" i="1"/>
  <c r="E354" i="3" s="1"/>
  <c r="O354" i="1"/>
  <c r="O355" i="1"/>
  <c r="O356" i="1"/>
  <c r="O357" i="1"/>
  <c r="E358" i="3" s="1"/>
  <c r="O358" i="1"/>
  <c r="E359" i="3" s="1"/>
  <c r="O359" i="1"/>
  <c r="O360" i="1"/>
  <c r="O361" i="1"/>
  <c r="O362" i="1"/>
  <c r="E363" i="3" s="1"/>
  <c r="O363" i="1"/>
  <c r="E364" i="3" s="1"/>
  <c r="O364" i="1"/>
  <c r="O365" i="1"/>
  <c r="E366" i="3" s="1"/>
  <c r="O366" i="1"/>
  <c r="E367" i="3" s="1"/>
  <c r="O367" i="1"/>
  <c r="O368" i="1"/>
  <c r="E369" i="3" s="1"/>
  <c r="O369" i="1"/>
  <c r="E370" i="3" s="1"/>
  <c r="O370" i="1"/>
  <c r="E371" i="3" s="1"/>
  <c r="O371" i="1"/>
  <c r="O372" i="1"/>
  <c r="O373" i="1"/>
  <c r="O374" i="1"/>
  <c r="E375" i="3" s="1"/>
  <c r="O375" i="1"/>
  <c r="O376" i="1"/>
  <c r="E377" i="3" s="1"/>
  <c r="O377" i="1"/>
  <c r="E378" i="3" s="1"/>
  <c r="O378" i="1"/>
  <c r="E379" i="3" s="1"/>
  <c r="O379" i="1"/>
  <c r="O380" i="1"/>
  <c r="E381" i="3" s="1"/>
  <c r="O381" i="1"/>
  <c r="O382" i="1"/>
  <c r="E383" i="3" s="1"/>
  <c r="O383" i="1"/>
  <c r="O384" i="1"/>
  <c r="O385" i="1"/>
  <c r="O386" i="1"/>
  <c r="O387" i="1"/>
  <c r="O388" i="1"/>
  <c r="E389" i="3" s="1"/>
  <c r="O389" i="1"/>
  <c r="O390" i="1"/>
  <c r="O391" i="1"/>
  <c r="O392" i="1"/>
  <c r="E393" i="3" s="1"/>
  <c r="O393" i="1"/>
  <c r="E394" i="3" s="1"/>
  <c r="O394" i="1"/>
  <c r="E395" i="3" s="1"/>
  <c r="O395" i="1"/>
  <c r="O396" i="1"/>
  <c r="O397" i="1"/>
  <c r="O398" i="1"/>
  <c r="E399" i="3" s="1"/>
  <c r="O399" i="1"/>
  <c r="O400" i="1"/>
  <c r="O401" i="1"/>
  <c r="E402" i="3" s="1"/>
  <c r="O402" i="1"/>
  <c r="E403" i="3" s="1"/>
  <c r="O403" i="1"/>
  <c r="O404" i="1"/>
  <c r="O405" i="1"/>
  <c r="E406" i="3" s="1"/>
  <c r="O406" i="1"/>
  <c r="E407" i="3" s="1"/>
  <c r="O407" i="1"/>
  <c r="E408" i="3" s="1"/>
  <c r="O408" i="1"/>
  <c r="E409" i="3" s="1"/>
  <c r="O409" i="1"/>
  <c r="E410" i="3" s="1"/>
  <c r="O410" i="1"/>
  <c r="O411" i="1"/>
  <c r="O412" i="1"/>
  <c r="E413" i="3" s="1"/>
  <c r="O413" i="1"/>
  <c r="E414" i="3" s="1"/>
  <c r="O414" i="1"/>
  <c r="O415" i="1"/>
  <c r="E416" i="3" s="1"/>
  <c r="O416" i="1"/>
  <c r="O417" i="1"/>
  <c r="E418" i="3" s="1"/>
  <c r="O418" i="1"/>
  <c r="O419" i="1"/>
  <c r="E420" i="3" s="1"/>
  <c r="O420" i="1"/>
  <c r="E421" i="3" s="1"/>
  <c r="O421" i="1"/>
  <c r="E422" i="3" s="1"/>
  <c r="O422" i="1"/>
  <c r="O423" i="1"/>
  <c r="O424" i="1"/>
  <c r="E425" i="3" s="1"/>
  <c r="O425" i="1"/>
  <c r="O426" i="1"/>
  <c r="E427" i="3" s="1"/>
  <c r="O427" i="1"/>
  <c r="O428" i="1"/>
  <c r="O429" i="1"/>
  <c r="E430" i="3" s="1"/>
  <c r="O430" i="1"/>
  <c r="E431" i="3" s="1"/>
  <c r="D6" i="3"/>
  <c r="D7" i="3"/>
  <c r="D15" i="3"/>
  <c r="D19" i="3"/>
  <c r="D20" i="3"/>
  <c r="D22" i="3"/>
  <c r="D27" i="3"/>
  <c r="D35" i="3"/>
  <c r="D36" i="3"/>
  <c r="D38" i="3"/>
  <c r="D40" i="3"/>
  <c r="D44" i="3"/>
  <c r="D52" i="3"/>
  <c r="D59" i="3"/>
  <c r="D63" i="3"/>
  <c r="D76" i="3"/>
  <c r="D92" i="3"/>
  <c r="D96" i="3"/>
  <c r="D100" i="3"/>
  <c r="D112" i="3"/>
  <c r="D114" i="3"/>
  <c r="D116" i="3"/>
  <c r="D119" i="3"/>
  <c r="D127" i="3"/>
  <c r="D128" i="3"/>
  <c r="D136" i="3"/>
  <c r="D144" i="3"/>
  <c r="D147" i="3"/>
  <c r="D158" i="3"/>
  <c r="D159" i="3"/>
  <c r="D160" i="3"/>
  <c r="D164" i="3"/>
  <c r="D165" i="3"/>
  <c r="D167" i="3"/>
  <c r="D168" i="3"/>
  <c r="D172" i="3"/>
  <c r="D176" i="3"/>
  <c r="D180" i="3"/>
  <c r="D184" i="3"/>
  <c r="D187" i="3"/>
  <c r="D188" i="3"/>
  <c r="D192" i="3"/>
  <c r="D194" i="3"/>
  <c r="D195" i="3"/>
  <c r="D196" i="3"/>
  <c r="D198" i="3"/>
  <c r="D199" i="3"/>
  <c r="D200" i="3"/>
  <c r="D204" i="3"/>
  <c r="D208" i="3"/>
  <c r="D210" i="3"/>
  <c r="D212" i="3"/>
  <c r="D214" i="3"/>
  <c r="D215" i="3"/>
  <c r="D216" i="3"/>
  <c r="D220" i="3"/>
  <c r="D227" i="3"/>
  <c r="D228" i="3"/>
  <c r="D231" i="3"/>
  <c r="D232" i="3"/>
  <c r="D235" i="3"/>
  <c r="D237" i="3"/>
  <c r="D239" i="3"/>
  <c r="D247" i="3"/>
  <c r="D248" i="3"/>
  <c r="D251" i="3"/>
  <c r="D256" i="3"/>
  <c r="D260" i="3"/>
  <c r="D268" i="3"/>
  <c r="D271" i="3"/>
  <c r="D275" i="3"/>
  <c r="D278" i="3"/>
  <c r="D279" i="3"/>
  <c r="D281" i="3"/>
  <c r="D283" i="3"/>
  <c r="D288" i="3"/>
  <c r="D295" i="3"/>
  <c r="D296" i="3"/>
  <c r="D299" i="3"/>
  <c r="D300" i="3"/>
  <c r="D304" i="3"/>
  <c r="D307" i="3"/>
  <c r="D308" i="3"/>
  <c r="D311" i="3"/>
  <c r="D312" i="3"/>
  <c r="D314" i="3"/>
  <c r="D315" i="3"/>
  <c r="D316" i="3"/>
  <c r="D318" i="3"/>
  <c r="D319" i="3"/>
  <c r="D320" i="3"/>
  <c r="D322" i="3"/>
  <c r="D323" i="3"/>
  <c r="D326" i="3"/>
  <c r="D328" i="3"/>
  <c r="D331" i="3"/>
  <c r="D332" i="3"/>
  <c r="D334" i="3"/>
  <c r="D335" i="3"/>
  <c r="D336" i="3"/>
  <c r="D338" i="3"/>
  <c r="D339" i="3"/>
  <c r="D343" i="3"/>
  <c r="D346" i="3"/>
  <c r="D347" i="3"/>
  <c r="D352" i="3"/>
  <c r="D354" i="3"/>
  <c r="D355" i="3"/>
  <c r="D359" i="3"/>
  <c r="D360" i="3"/>
  <c r="D363" i="3"/>
  <c r="D364" i="3"/>
  <c r="D366" i="3"/>
  <c r="D367" i="3"/>
  <c r="D368" i="3"/>
  <c r="D370" i="3"/>
  <c r="D372" i="3"/>
  <c r="D375" i="3"/>
  <c r="D376" i="3"/>
  <c r="D379" i="3"/>
  <c r="D380" i="3"/>
  <c r="D381" i="3"/>
  <c r="D243" i="3"/>
  <c r="D384" i="3"/>
  <c r="D387" i="3"/>
  <c r="D388" i="3"/>
  <c r="D391" i="3"/>
  <c r="D392" i="3"/>
  <c r="D399" i="3"/>
  <c r="D403" i="3"/>
  <c r="D404" i="3"/>
  <c r="D407" i="3"/>
  <c r="D408" i="3"/>
  <c r="D411" i="3"/>
  <c r="D412" i="3"/>
  <c r="D413" i="3"/>
  <c r="D414" i="3"/>
  <c r="D415" i="3"/>
  <c r="D416" i="3"/>
  <c r="D418" i="3"/>
  <c r="D419" i="3"/>
  <c r="D420" i="3"/>
  <c r="D422" i="3"/>
  <c r="D423" i="3"/>
  <c r="D428" i="3"/>
  <c r="M3" i="4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S4" i="1"/>
  <c r="I5" i="3" s="1"/>
  <c r="S5" i="1"/>
  <c r="S6" i="1"/>
  <c r="S7" i="1"/>
  <c r="I8" i="3" s="1"/>
  <c r="S8" i="1"/>
  <c r="I9" i="3" s="1"/>
  <c r="S9" i="1"/>
  <c r="I10" i="3" s="1"/>
  <c r="S10" i="1"/>
  <c r="S11" i="1"/>
  <c r="I12" i="3" s="1"/>
  <c r="S12" i="1"/>
  <c r="S13" i="1"/>
  <c r="S14" i="1"/>
  <c r="S15" i="1"/>
  <c r="S16" i="1"/>
  <c r="S17" i="1"/>
  <c r="I18" i="3" s="1"/>
  <c r="S18" i="1"/>
  <c r="S19" i="1"/>
  <c r="S20" i="1"/>
  <c r="S21" i="1"/>
  <c r="S22" i="1"/>
  <c r="S23" i="1"/>
  <c r="S24" i="1"/>
  <c r="S25" i="1"/>
  <c r="I26" i="3" s="1"/>
  <c r="S26" i="1"/>
  <c r="S27" i="1"/>
  <c r="S28" i="1"/>
  <c r="I29" i="3" s="1"/>
  <c r="S29" i="1"/>
  <c r="S30" i="1"/>
  <c r="S31" i="1"/>
  <c r="S32" i="1"/>
  <c r="S33" i="1"/>
  <c r="S34" i="1"/>
  <c r="S35" i="1"/>
  <c r="I36" i="3" s="1"/>
  <c r="S36" i="1"/>
  <c r="I37" i="3" s="1"/>
  <c r="S37" i="1"/>
  <c r="I38" i="3" s="1"/>
  <c r="S38" i="1"/>
  <c r="S39" i="1"/>
  <c r="S40" i="1"/>
  <c r="I41" i="3" s="1"/>
  <c r="S41" i="1"/>
  <c r="I42" i="3" s="1"/>
  <c r="S42" i="1"/>
  <c r="S43" i="1"/>
  <c r="S44" i="1"/>
  <c r="I45" i="3" s="1"/>
  <c r="S45" i="1"/>
  <c r="S46" i="1"/>
  <c r="S47" i="1"/>
  <c r="S48" i="1"/>
  <c r="I49" i="3" s="1"/>
  <c r="S49" i="1"/>
  <c r="I50" i="3" s="1"/>
  <c r="S50" i="1"/>
  <c r="S51" i="1"/>
  <c r="I52" i="3" s="1"/>
  <c r="S52" i="1"/>
  <c r="S53" i="1"/>
  <c r="S54" i="1"/>
  <c r="S55" i="1"/>
  <c r="S56" i="1"/>
  <c r="S57" i="1"/>
  <c r="I58" i="3" s="1"/>
  <c r="S58" i="1"/>
  <c r="S59" i="1"/>
  <c r="S60" i="1"/>
  <c r="S61" i="1"/>
  <c r="I62" i="3" s="1"/>
  <c r="S62" i="1"/>
  <c r="S63" i="1"/>
  <c r="S64" i="1"/>
  <c r="S65" i="1"/>
  <c r="S66" i="1"/>
  <c r="S67" i="1"/>
  <c r="S68" i="1"/>
  <c r="S69" i="1"/>
  <c r="I70" i="3" s="1"/>
  <c r="S70" i="1"/>
  <c r="S71" i="1"/>
  <c r="S72" i="1"/>
  <c r="S73" i="1"/>
  <c r="S74" i="1"/>
  <c r="S75" i="1"/>
  <c r="S76" i="1"/>
  <c r="I77" i="3" s="1"/>
  <c r="S77" i="1"/>
  <c r="I78" i="3" s="1"/>
  <c r="S78" i="1"/>
  <c r="S79" i="1"/>
  <c r="S80" i="1"/>
  <c r="S81" i="1"/>
  <c r="I82" i="3" s="1"/>
  <c r="S82" i="1"/>
  <c r="S83" i="1"/>
  <c r="S84" i="1"/>
  <c r="I85" i="3" s="1"/>
  <c r="S85" i="1"/>
  <c r="S86" i="1"/>
  <c r="S87" i="1"/>
  <c r="S88" i="1"/>
  <c r="S89" i="1"/>
  <c r="I90" i="3" s="1"/>
  <c r="S90" i="1"/>
  <c r="S91" i="1"/>
  <c r="S92" i="1"/>
  <c r="I93" i="3" s="1"/>
  <c r="S93" i="1"/>
  <c r="S94" i="1"/>
  <c r="S95" i="1"/>
  <c r="S96" i="1"/>
  <c r="S97" i="1"/>
  <c r="S98" i="1"/>
  <c r="S99" i="1"/>
  <c r="I100" i="3" s="1"/>
  <c r="S100" i="1"/>
  <c r="S101" i="1"/>
  <c r="S102" i="1"/>
  <c r="S103" i="1"/>
  <c r="S104" i="1"/>
  <c r="I105" i="3" s="1"/>
  <c r="S105" i="1"/>
  <c r="S106" i="1"/>
  <c r="S107" i="1"/>
  <c r="S108" i="1"/>
  <c r="I109" i="3" s="1"/>
  <c r="S109" i="1"/>
  <c r="S110" i="1"/>
  <c r="S111" i="1"/>
  <c r="S112" i="1"/>
  <c r="S113" i="1"/>
  <c r="S114" i="1"/>
  <c r="S115" i="1"/>
  <c r="S116" i="1"/>
  <c r="I117" i="3" s="1"/>
  <c r="S117" i="1"/>
  <c r="S118" i="1"/>
  <c r="S119" i="1"/>
  <c r="S120" i="1"/>
  <c r="S121" i="1"/>
  <c r="S122" i="1"/>
  <c r="S123" i="1"/>
  <c r="S124" i="1"/>
  <c r="I125" i="3" s="1"/>
  <c r="S125" i="1"/>
  <c r="S126" i="1"/>
  <c r="S127" i="1"/>
  <c r="S128" i="1"/>
  <c r="S129" i="1"/>
  <c r="I130" i="3" s="1"/>
  <c r="S130" i="1"/>
  <c r="S131" i="1"/>
  <c r="S132" i="1"/>
  <c r="I133" i="3" s="1"/>
  <c r="S133" i="1"/>
  <c r="I134" i="3" s="1"/>
  <c r="S134" i="1"/>
  <c r="S135" i="1"/>
  <c r="S136" i="1"/>
  <c r="I137" i="3" s="1"/>
  <c r="S137" i="1"/>
  <c r="I138" i="3" s="1"/>
  <c r="S138" i="1"/>
  <c r="S139" i="1"/>
  <c r="S140" i="1"/>
  <c r="S141" i="1"/>
  <c r="I142" i="3" s="1"/>
  <c r="S142" i="1"/>
  <c r="S143" i="1"/>
  <c r="S144" i="1"/>
  <c r="S145" i="1"/>
  <c r="I146" i="3" s="1"/>
  <c r="S146" i="1"/>
  <c r="S147" i="1"/>
  <c r="I148" i="3" s="1"/>
  <c r="S148" i="1"/>
  <c r="I149" i="3" s="1"/>
  <c r="S149" i="1"/>
  <c r="I150" i="3" s="1"/>
  <c r="S150" i="1"/>
  <c r="S151" i="1"/>
  <c r="S152" i="1"/>
  <c r="S153" i="1"/>
  <c r="S154" i="1"/>
  <c r="S155" i="1"/>
  <c r="I156" i="3" s="1"/>
  <c r="S156" i="1"/>
  <c r="S157" i="1"/>
  <c r="S158" i="1"/>
  <c r="S159" i="1"/>
  <c r="S160" i="1"/>
  <c r="I161" i="3" s="1"/>
  <c r="S161" i="1"/>
  <c r="I162" i="3" s="1"/>
  <c r="S162" i="1"/>
  <c r="S163" i="1"/>
  <c r="S164" i="1"/>
  <c r="I165" i="3" s="1"/>
  <c r="S165" i="1"/>
  <c r="I166" i="3" s="1"/>
  <c r="S166" i="1"/>
  <c r="S167" i="1"/>
  <c r="S168" i="1"/>
  <c r="I169" i="3" s="1"/>
  <c r="S169" i="1"/>
  <c r="S170" i="1"/>
  <c r="S171" i="1"/>
  <c r="S172" i="1"/>
  <c r="S173" i="1"/>
  <c r="I174" i="3" s="1"/>
  <c r="S174" i="1"/>
  <c r="S175" i="1"/>
  <c r="S176" i="1"/>
  <c r="I177" i="3" s="1"/>
  <c r="S177" i="1"/>
  <c r="I178" i="3" s="1"/>
  <c r="S178" i="1"/>
  <c r="S179" i="1"/>
  <c r="S180" i="1"/>
  <c r="I181" i="3" s="1"/>
  <c r="S181" i="1"/>
  <c r="S182" i="1"/>
  <c r="S183" i="1"/>
  <c r="S184" i="1"/>
  <c r="S185" i="1"/>
  <c r="S186" i="1"/>
  <c r="S187" i="1"/>
  <c r="S188" i="1"/>
  <c r="I189" i="3" s="1"/>
  <c r="S189" i="1"/>
  <c r="I190" i="3" s="1"/>
  <c r="S190" i="1"/>
  <c r="S191" i="1"/>
  <c r="S192" i="1"/>
  <c r="S193" i="1"/>
  <c r="S194" i="1"/>
  <c r="S195" i="1"/>
  <c r="S196" i="1"/>
  <c r="S197" i="1"/>
  <c r="S198" i="1"/>
  <c r="S199" i="1"/>
  <c r="S200" i="1"/>
  <c r="I201" i="3" s="1"/>
  <c r="S201" i="1"/>
  <c r="I202" i="3" s="1"/>
  <c r="S202" i="1"/>
  <c r="S203" i="1"/>
  <c r="S204" i="1"/>
  <c r="S205" i="1"/>
  <c r="S206" i="1"/>
  <c r="S207" i="1"/>
  <c r="S208" i="1"/>
  <c r="S209" i="1"/>
  <c r="I210" i="3" s="1"/>
  <c r="S210" i="1"/>
  <c r="S211" i="1"/>
  <c r="I212" i="3" s="1"/>
  <c r="S212" i="1"/>
  <c r="I213" i="3" s="1"/>
  <c r="S213" i="1"/>
  <c r="S214" i="1"/>
  <c r="S215" i="1"/>
  <c r="S216" i="1"/>
  <c r="S217" i="1"/>
  <c r="S218" i="1"/>
  <c r="S219" i="1"/>
  <c r="S220" i="1"/>
  <c r="S221" i="1"/>
  <c r="I222" i="3" s="1"/>
  <c r="S222" i="1"/>
  <c r="S223" i="1"/>
  <c r="S224" i="1"/>
  <c r="I225" i="3" s="1"/>
  <c r="S225" i="1"/>
  <c r="I226" i="3" s="1"/>
  <c r="S226" i="1"/>
  <c r="S227" i="1"/>
  <c r="S228" i="1"/>
  <c r="S229" i="1"/>
  <c r="I230" i="3" s="1"/>
  <c r="S230" i="1"/>
  <c r="S231" i="1"/>
  <c r="S232" i="1"/>
  <c r="I233" i="3" s="1"/>
  <c r="S233" i="1"/>
  <c r="S234" i="1"/>
  <c r="S235" i="1"/>
  <c r="S236" i="1"/>
  <c r="I237" i="3" s="1"/>
  <c r="S237" i="1"/>
  <c r="I238" i="3" s="1"/>
  <c r="S238" i="1"/>
  <c r="S239" i="1"/>
  <c r="I240" i="3" s="1"/>
  <c r="S240" i="1"/>
  <c r="I241" i="3" s="1"/>
  <c r="S241" i="1"/>
  <c r="S242" i="1"/>
  <c r="S243" i="1"/>
  <c r="S244" i="1"/>
  <c r="I245" i="3" s="1"/>
  <c r="S245" i="1"/>
  <c r="I246" i="3" s="1"/>
  <c r="S246" i="1"/>
  <c r="S247" i="1"/>
  <c r="S248" i="1"/>
  <c r="I249" i="3" s="1"/>
  <c r="S249" i="1"/>
  <c r="S250" i="1"/>
  <c r="S251" i="1"/>
  <c r="S252" i="1"/>
  <c r="I253" i="3" s="1"/>
  <c r="S253" i="1"/>
  <c r="I254" i="3" s="1"/>
  <c r="S254" i="1"/>
  <c r="S255" i="1"/>
  <c r="S256" i="1"/>
  <c r="I257" i="3" s="1"/>
  <c r="S257" i="1"/>
  <c r="I258" i="3" s="1"/>
  <c r="S258" i="1"/>
  <c r="S259" i="1"/>
  <c r="S260" i="1"/>
  <c r="I261" i="3" s="1"/>
  <c r="S261" i="1"/>
  <c r="I262" i="3" s="1"/>
  <c r="S262" i="1"/>
  <c r="S263" i="1"/>
  <c r="S264" i="1"/>
  <c r="S265" i="1"/>
  <c r="S266" i="1"/>
  <c r="S267" i="1"/>
  <c r="S268" i="1"/>
  <c r="I269" i="3" s="1"/>
  <c r="S269" i="1"/>
  <c r="S270" i="1"/>
  <c r="S271" i="1"/>
  <c r="S272" i="1"/>
  <c r="I273" i="3" s="1"/>
  <c r="S273" i="1"/>
  <c r="I274" i="3" s="1"/>
  <c r="S274" i="1"/>
  <c r="S275" i="1"/>
  <c r="S276" i="1"/>
  <c r="I277" i="3" s="1"/>
  <c r="S277" i="1"/>
  <c r="S278" i="1"/>
  <c r="S279" i="1"/>
  <c r="S280" i="1"/>
  <c r="I281" i="3" s="1"/>
  <c r="S281" i="1"/>
  <c r="I282" i="3" s="1"/>
  <c r="S282" i="1"/>
  <c r="S283" i="1"/>
  <c r="I284" i="3" s="1"/>
  <c r="S284" i="1"/>
  <c r="I285" i="3" s="1"/>
  <c r="S285" i="1"/>
  <c r="S286" i="1"/>
  <c r="S287" i="1"/>
  <c r="S288" i="1"/>
  <c r="I289" i="3" s="1"/>
  <c r="S289" i="1"/>
  <c r="S290" i="1"/>
  <c r="S291" i="1"/>
  <c r="S292" i="1"/>
  <c r="I293" i="3" s="1"/>
  <c r="S293" i="1"/>
  <c r="I294" i="3" s="1"/>
  <c r="S294" i="1"/>
  <c r="S295" i="1"/>
  <c r="S296" i="1"/>
  <c r="S297" i="1"/>
  <c r="I298" i="3" s="1"/>
  <c r="S298" i="1"/>
  <c r="S299" i="1"/>
  <c r="S300" i="1"/>
  <c r="I301" i="3" s="1"/>
  <c r="S301" i="1"/>
  <c r="I302" i="3" s="1"/>
  <c r="S302" i="1"/>
  <c r="S303" i="1"/>
  <c r="S304" i="1"/>
  <c r="S305" i="1"/>
  <c r="I306" i="3" s="1"/>
  <c r="S306" i="1"/>
  <c r="S307" i="1"/>
  <c r="S308" i="1"/>
  <c r="S309" i="1"/>
  <c r="I310" i="3" s="1"/>
  <c r="S310" i="1"/>
  <c r="S311" i="1"/>
  <c r="S312" i="1"/>
  <c r="S313" i="1"/>
  <c r="I314" i="3" s="1"/>
  <c r="S314" i="1"/>
  <c r="S315" i="1"/>
  <c r="S316" i="1"/>
  <c r="I317" i="3" s="1"/>
  <c r="S317" i="1"/>
  <c r="I318" i="3" s="1"/>
  <c r="S318" i="1"/>
  <c r="S319" i="1"/>
  <c r="S320" i="1"/>
  <c r="S321" i="1"/>
  <c r="I322" i="3" s="1"/>
  <c r="S322" i="1"/>
  <c r="S323" i="1"/>
  <c r="S324" i="1"/>
  <c r="I325" i="3" s="1"/>
  <c r="S325" i="1"/>
  <c r="I326" i="3" s="1"/>
  <c r="S326" i="1"/>
  <c r="S327" i="1"/>
  <c r="S328" i="1"/>
  <c r="I329" i="3" s="1"/>
  <c r="S329" i="1"/>
  <c r="I330" i="3" s="1"/>
  <c r="S330" i="1"/>
  <c r="S331" i="1"/>
  <c r="S332" i="1"/>
  <c r="S333" i="1"/>
  <c r="S334" i="1"/>
  <c r="S335" i="1"/>
  <c r="S336" i="1"/>
  <c r="I337" i="3" s="1"/>
  <c r="S337" i="1"/>
  <c r="S338" i="1"/>
  <c r="S339" i="1"/>
  <c r="I340" i="3" s="1"/>
  <c r="S340" i="1"/>
  <c r="S341" i="1"/>
  <c r="I342" i="3" s="1"/>
  <c r="S342" i="1"/>
  <c r="S343" i="1"/>
  <c r="S344" i="1"/>
  <c r="I345" i="3" s="1"/>
  <c r="S345" i="1"/>
  <c r="I346" i="3" s="1"/>
  <c r="S346" i="1"/>
  <c r="S347" i="1"/>
  <c r="I348" i="3" s="1"/>
  <c r="S348" i="1"/>
  <c r="S349" i="1"/>
  <c r="I350" i="3" s="1"/>
  <c r="S350" i="1"/>
  <c r="S351" i="1"/>
  <c r="I352" i="3" s="1"/>
  <c r="S352" i="1"/>
  <c r="I353" i="3" s="1"/>
  <c r="S353" i="1"/>
  <c r="I354" i="3" s="1"/>
  <c r="S354" i="1"/>
  <c r="S355" i="1"/>
  <c r="I356" i="3" s="1"/>
  <c r="S356" i="1"/>
  <c r="I357" i="3" s="1"/>
  <c r="S357" i="1"/>
  <c r="I358" i="3" s="1"/>
  <c r="S358" i="1"/>
  <c r="S359" i="1"/>
  <c r="S360" i="1"/>
  <c r="I361" i="3" s="1"/>
  <c r="S361" i="1"/>
  <c r="S362" i="1"/>
  <c r="S363" i="1"/>
  <c r="S364" i="1"/>
  <c r="S365" i="1"/>
  <c r="S366" i="1"/>
  <c r="S367" i="1"/>
  <c r="S368" i="1"/>
  <c r="I369" i="3" s="1"/>
  <c r="S369" i="1"/>
  <c r="S370" i="1"/>
  <c r="S371" i="1"/>
  <c r="S372" i="1"/>
  <c r="I373" i="3" s="1"/>
  <c r="S373" i="1"/>
  <c r="S374" i="1"/>
  <c r="S375" i="1"/>
  <c r="S376" i="1"/>
  <c r="I377" i="3" s="1"/>
  <c r="S377" i="1"/>
  <c r="S378" i="1"/>
  <c r="S379" i="1"/>
  <c r="S380" i="1"/>
  <c r="I381" i="3" s="1"/>
  <c r="S381" i="1"/>
  <c r="S382" i="1"/>
  <c r="S383" i="1"/>
  <c r="S384" i="1"/>
  <c r="I385" i="3" s="1"/>
  <c r="S385" i="1"/>
  <c r="S386" i="1"/>
  <c r="S387" i="1"/>
  <c r="S388" i="1"/>
  <c r="I389" i="3" s="1"/>
  <c r="S389" i="1"/>
  <c r="I390" i="3" s="1"/>
  <c r="S390" i="1"/>
  <c r="S391" i="1"/>
  <c r="I392" i="3" s="1"/>
  <c r="S392" i="1"/>
  <c r="I393" i="3" s="1"/>
  <c r="S393" i="1"/>
  <c r="I394" i="3" s="1"/>
  <c r="S394" i="1"/>
  <c r="S395" i="1"/>
  <c r="S396" i="1"/>
  <c r="I397" i="3" s="1"/>
  <c r="S397" i="1"/>
  <c r="I398" i="3" s="1"/>
  <c r="S398" i="1"/>
  <c r="I399" i="3" s="1"/>
  <c r="S399" i="1"/>
  <c r="S400" i="1"/>
  <c r="I401" i="3" s="1"/>
  <c r="S401" i="1"/>
  <c r="I402" i="3" s="1"/>
  <c r="S402" i="1"/>
  <c r="S403" i="1"/>
  <c r="S404" i="1"/>
  <c r="I405" i="3" s="1"/>
  <c r="S405" i="1"/>
  <c r="I406" i="3" s="1"/>
  <c r="S406" i="1"/>
  <c r="S407" i="1"/>
  <c r="S408" i="1"/>
  <c r="I409" i="3" s="1"/>
  <c r="S409" i="1"/>
  <c r="I410" i="3" s="1"/>
  <c r="S410" i="1"/>
  <c r="S411" i="1"/>
  <c r="S412" i="1"/>
  <c r="I413" i="3" s="1"/>
  <c r="S413" i="1"/>
  <c r="S414" i="1"/>
  <c r="S415" i="1"/>
  <c r="I416" i="3" s="1"/>
  <c r="S416" i="1"/>
  <c r="I417" i="3" s="1"/>
  <c r="S417" i="1"/>
  <c r="S418" i="1"/>
  <c r="S419" i="1"/>
  <c r="S420" i="1"/>
  <c r="I421" i="3" s="1"/>
  <c r="S421" i="1"/>
  <c r="I422" i="3" s="1"/>
  <c r="S422" i="1"/>
  <c r="S423" i="1"/>
  <c r="S424" i="1"/>
  <c r="I425" i="3" s="1"/>
  <c r="S425" i="1"/>
  <c r="S426" i="1"/>
  <c r="S427" i="1"/>
  <c r="S428" i="1"/>
  <c r="I429" i="3" s="1"/>
  <c r="S429" i="1"/>
  <c r="I430" i="3" s="1"/>
  <c r="S430" i="1"/>
  <c r="R4" i="1"/>
  <c r="H5" i="3" s="1"/>
  <c r="R5" i="1"/>
  <c r="R6" i="1"/>
  <c r="R7" i="1"/>
  <c r="H8" i="3" s="1"/>
  <c r="R8" i="1"/>
  <c r="H9" i="3" s="1"/>
  <c r="R9" i="1"/>
  <c r="H10" i="3" s="1"/>
  <c r="R10" i="1"/>
  <c r="R11" i="1"/>
  <c r="H12" i="3" s="1"/>
  <c r="R12" i="1"/>
  <c r="R13" i="1"/>
  <c r="R14" i="1"/>
  <c r="R15" i="1"/>
  <c r="R16" i="1"/>
  <c r="R17" i="1"/>
  <c r="H18" i="3" s="1"/>
  <c r="R18" i="1"/>
  <c r="R19" i="1"/>
  <c r="R20" i="1"/>
  <c r="R21" i="1"/>
  <c r="R22" i="1"/>
  <c r="R23" i="1"/>
  <c r="R24" i="1"/>
  <c r="R25" i="1"/>
  <c r="H26" i="3" s="1"/>
  <c r="R26" i="1"/>
  <c r="R27" i="1"/>
  <c r="R28" i="1"/>
  <c r="H29" i="3" s="1"/>
  <c r="R29" i="1"/>
  <c r="R30" i="1"/>
  <c r="R31" i="1"/>
  <c r="R32" i="1"/>
  <c r="R33" i="1"/>
  <c r="R34" i="1"/>
  <c r="R35" i="1"/>
  <c r="H36" i="3" s="1"/>
  <c r="R36" i="1"/>
  <c r="H37" i="3" s="1"/>
  <c r="R37" i="1"/>
  <c r="H38" i="3" s="1"/>
  <c r="R38" i="1"/>
  <c r="R39" i="1"/>
  <c r="R40" i="1"/>
  <c r="H41" i="3" s="1"/>
  <c r="R41" i="1"/>
  <c r="H42" i="3" s="1"/>
  <c r="R42" i="1"/>
  <c r="R43" i="1"/>
  <c r="R44" i="1"/>
  <c r="H45" i="3" s="1"/>
  <c r="R45" i="1"/>
  <c r="R46" i="1"/>
  <c r="R47" i="1"/>
  <c r="R48" i="1"/>
  <c r="H49" i="3" s="1"/>
  <c r="R49" i="1"/>
  <c r="H50" i="3" s="1"/>
  <c r="R50" i="1"/>
  <c r="R51" i="1"/>
  <c r="H52" i="3" s="1"/>
  <c r="R52" i="1"/>
  <c r="R53" i="1"/>
  <c r="R54" i="1"/>
  <c r="R55" i="1"/>
  <c r="R56" i="1"/>
  <c r="R57" i="1"/>
  <c r="H58" i="3" s="1"/>
  <c r="R58" i="1"/>
  <c r="R59" i="1"/>
  <c r="R60" i="1"/>
  <c r="R61" i="1"/>
  <c r="H62" i="3" s="1"/>
  <c r="R62" i="1"/>
  <c r="R63" i="1"/>
  <c r="R64" i="1"/>
  <c r="R65" i="1"/>
  <c r="R66" i="1"/>
  <c r="R67" i="1"/>
  <c r="R68" i="1"/>
  <c r="R69" i="1"/>
  <c r="H70" i="3" s="1"/>
  <c r="R70" i="1"/>
  <c r="R71" i="1"/>
  <c r="R72" i="1"/>
  <c r="R73" i="1"/>
  <c r="R74" i="1"/>
  <c r="R75" i="1"/>
  <c r="R76" i="1"/>
  <c r="H77" i="3" s="1"/>
  <c r="R77" i="1"/>
  <c r="H78" i="3" s="1"/>
  <c r="R78" i="1"/>
  <c r="R79" i="1"/>
  <c r="R80" i="1"/>
  <c r="R81" i="1"/>
  <c r="H82" i="3" s="1"/>
  <c r="R82" i="1"/>
  <c r="R83" i="1"/>
  <c r="R84" i="1"/>
  <c r="H85" i="3" s="1"/>
  <c r="R85" i="1"/>
  <c r="R86" i="1"/>
  <c r="R87" i="1"/>
  <c r="R88" i="1"/>
  <c r="R89" i="1"/>
  <c r="H90" i="3" s="1"/>
  <c r="R90" i="1"/>
  <c r="R91" i="1"/>
  <c r="R92" i="1"/>
  <c r="H93" i="3" s="1"/>
  <c r="R93" i="1"/>
  <c r="R94" i="1"/>
  <c r="R95" i="1"/>
  <c r="R96" i="1"/>
  <c r="R97" i="1"/>
  <c r="R98" i="1"/>
  <c r="R99" i="1"/>
  <c r="R100" i="1"/>
  <c r="R101" i="1"/>
  <c r="R102" i="1"/>
  <c r="R103" i="1"/>
  <c r="R104" i="1"/>
  <c r="H105" i="3" s="1"/>
  <c r="R105" i="1"/>
  <c r="R106" i="1"/>
  <c r="R107" i="1"/>
  <c r="R108" i="1"/>
  <c r="H109" i="3" s="1"/>
  <c r="R109" i="1"/>
  <c r="R110" i="1"/>
  <c r="R111" i="1"/>
  <c r="R112" i="1"/>
  <c r="R113" i="1"/>
  <c r="R114" i="1"/>
  <c r="R115" i="1"/>
  <c r="R116" i="1"/>
  <c r="H117" i="3" s="1"/>
  <c r="R117" i="1"/>
  <c r="R118" i="1"/>
  <c r="R119" i="1"/>
  <c r="R120" i="1"/>
  <c r="R121" i="1"/>
  <c r="R122" i="1"/>
  <c r="R123" i="1"/>
  <c r="R124" i="1"/>
  <c r="H125" i="3" s="1"/>
  <c r="R125" i="1"/>
  <c r="R126" i="1"/>
  <c r="R127" i="1"/>
  <c r="R128" i="1"/>
  <c r="R129" i="1"/>
  <c r="H130" i="3" s="1"/>
  <c r="R130" i="1"/>
  <c r="R131" i="1"/>
  <c r="R132" i="1"/>
  <c r="H133" i="3" s="1"/>
  <c r="R133" i="1"/>
  <c r="H134" i="3" s="1"/>
  <c r="R134" i="1"/>
  <c r="R135" i="1"/>
  <c r="R136" i="1"/>
  <c r="H137" i="3" s="1"/>
  <c r="R137" i="1"/>
  <c r="H138" i="3" s="1"/>
  <c r="R138" i="1"/>
  <c r="R139" i="1"/>
  <c r="R140" i="1"/>
  <c r="R141" i="1"/>
  <c r="H142" i="3" s="1"/>
  <c r="R142" i="1"/>
  <c r="R143" i="1"/>
  <c r="R144" i="1"/>
  <c r="R145" i="1"/>
  <c r="H146" i="3" s="1"/>
  <c r="R146" i="1"/>
  <c r="R147" i="1"/>
  <c r="H148" i="3" s="1"/>
  <c r="R148" i="1"/>
  <c r="H149" i="3" s="1"/>
  <c r="R149" i="1"/>
  <c r="H150" i="3" s="1"/>
  <c r="R150" i="1"/>
  <c r="R151" i="1"/>
  <c r="R152" i="1"/>
  <c r="R153" i="1"/>
  <c r="R154" i="1"/>
  <c r="R155" i="1"/>
  <c r="H156" i="3" s="1"/>
  <c r="R156" i="1"/>
  <c r="R157" i="1"/>
  <c r="R158" i="1"/>
  <c r="R159" i="1"/>
  <c r="R160" i="1"/>
  <c r="H161" i="3" s="1"/>
  <c r="R161" i="1"/>
  <c r="H162" i="3" s="1"/>
  <c r="R162" i="1"/>
  <c r="R163" i="1"/>
  <c r="R164" i="1"/>
  <c r="H165" i="3" s="1"/>
  <c r="R165" i="1"/>
  <c r="H166" i="3" s="1"/>
  <c r="R166" i="1"/>
  <c r="R167" i="1"/>
  <c r="R168" i="1"/>
  <c r="H169" i="3" s="1"/>
  <c r="R169" i="1"/>
  <c r="R170" i="1"/>
  <c r="R171" i="1"/>
  <c r="R172" i="1"/>
  <c r="R173" i="1"/>
  <c r="H174" i="3" s="1"/>
  <c r="R174" i="1"/>
  <c r="R175" i="1"/>
  <c r="R176" i="1"/>
  <c r="H177" i="3" s="1"/>
  <c r="R177" i="1"/>
  <c r="H178" i="3" s="1"/>
  <c r="R178" i="1"/>
  <c r="R179" i="1"/>
  <c r="R180" i="1"/>
  <c r="H181" i="3" s="1"/>
  <c r="R181" i="1"/>
  <c r="R182" i="1"/>
  <c r="R183" i="1"/>
  <c r="R184" i="1"/>
  <c r="R185" i="1"/>
  <c r="R186" i="1"/>
  <c r="R187" i="1"/>
  <c r="R188" i="1"/>
  <c r="H189" i="3" s="1"/>
  <c r="R189" i="1"/>
  <c r="H190" i="3" s="1"/>
  <c r="R190" i="1"/>
  <c r="R191" i="1"/>
  <c r="R192" i="1"/>
  <c r="R193" i="1"/>
  <c r="R194" i="1"/>
  <c r="R195" i="1"/>
  <c r="R196" i="1"/>
  <c r="R197" i="1"/>
  <c r="R198" i="1"/>
  <c r="R199" i="1"/>
  <c r="R200" i="1"/>
  <c r="H201" i="3" s="1"/>
  <c r="R201" i="1"/>
  <c r="H202" i="3" s="1"/>
  <c r="R202" i="1"/>
  <c r="R203" i="1"/>
  <c r="R204" i="1"/>
  <c r="R205" i="1"/>
  <c r="R206" i="1"/>
  <c r="R207" i="1"/>
  <c r="R208" i="1"/>
  <c r="R209" i="1"/>
  <c r="H210" i="3" s="1"/>
  <c r="R210" i="1"/>
  <c r="R211" i="1"/>
  <c r="H212" i="3" s="1"/>
  <c r="R212" i="1"/>
  <c r="H213" i="3" s="1"/>
  <c r="R213" i="1"/>
  <c r="R214" i="1"/>
  <c r="R215" i="1"/>
  <c r="R216" i="1"/>
  <c r="R217" i="1"/>
  <c r="R218" i="1"/>
  <c r="R219" i="1"/>
  <c r="R220" i="1"/>
  <c r="R221" i="1"/>
  <c r="H222" i="3" s="1"/>
  <c r="R222" i="1"/>
  <c r="R223" i="1"/>
  <c r="R224" i="1"/>
  <c r="H225" i="3" s="1"/>
  <c r="R225" i="1"/>
  <c r="H226" i="3" s="1"/>
  <c r="R226" i="1"/>
  <c r="R227" i="1"/>
  <c r="R228" i="1"/>
  <c r="R229" i="1"/>
  <c r="H230" i="3" s="1"/>
  <c r="R230" i="1"/>
  <c r="R231" i="1"/>
  <c r="R232" i="1"/>
  <c r="H233" i="3" s="1"/>
  <c r="R233" i="1"/>
  <c r="R234" i="1"/>
  <c r="R235" i="1"/>
  <c r="R236" i="1"/>
  <c r="H237" i="3" s="1"/>
  <c r="R237" i="1"/>
  <c r="H238" i="3" s="1"/>
  <c r="R238" i="1"/>
  <c r="R239" i="1"/>
  <c r="H240" i="3" s="1"/>
  <c r="R240" i="1"/>
  <c r="H241" i="3" s="1"/>
  <c r="R241" i="1"/>
  <c r="R242" i="1"/>
  <c r="R243" i="1"/>
  <c r="R244" i="1"/>
  <c r="H245" i="3" s="1"/>
  <c r="R245" i="1"/>
  <c r="H246" i="3" s="1"/>
  <c r="R246" i="1"/>
  <c r="R247" i="1"/>
  <c r="R248" i="1"/>
  <c r="H249" i="3" s="1"/>
  <c r="R249" i="1"/>
  <c r="R250" i="1"/>
  <c r="R251" i="1"/>
  <c r="R252" i="1"/>
  <c r="H253" i="3" s="1"/>
  <c r="R253" i="1"/>
  <c r="H254" i="3" s="1"/>
  <c r="R254" i="1"/>
  <c r="R255" i="1"/>
  <c r="R256" i="1"/>
  <c r="H257" i="3" s="1"/>
  <c r="R257" i="1"/>
  <c r="H258" i="3" s="1"/>
  <c r="R258" i="1"/>
  <c r="R259" i="1"/>
  <c r="R260" i="1"/>
  <c r="H261" i="3" s="1"/>
  <c r="R261" i="1"/>
  <c r="H262" i="3" s="1"/>
  <c r="R262" i="1"/>
  <c r="R263" i="1"/>
  <c r="R264" i="1"/>
  <c r="R265" i="1"/>
  <c r="R266" i="1"/>
  <c r="R267" i="1"/>
  <c r="R268" i="1"/>
  <c r="H269" i="3" s="1"/>
  <c r="R269" i="1"/>
  <c r="R270" i="1"/>
  <c r="R271" i="1"/>
  <c r="R272" i="1"/>
  <c r="H273" i="3" s="1"/>
  <c r="R273" i="1"/>
  <c r="H274" i="3" s="1"/>
  <c r="R274" i="1"/>
  <c r="R275" i="1"/>
  <c r="R276" i="1"/>
  <c r="H277" i="3" s="1"/>
  <c r="R277" i="1"/>
  <c r="R278" i="1"/>
  <c r="R279" i="1"/>
  <c r="R280" i="1"/>
  <c r="H281" i="3" s="1"/>
  <c r="R281" i="1"/>
  <c r="H282" i="3" s="1"/>
  <c r="R282" i="1"/>
  <c r="R283" i="1"/>
  <c r="H284" i="3" s="1"/>
  <c r="R284" i="1"/>
  <c r="H285" i="3" s="1"/>
  <c r="R285" i="1"/>
  <c r="R286" i="1"/>
  <c r="R287" i="1"/>
  <c r="R288" i="1"/>
  <c r="H289" i="3" s="1"/>
  <c r="R289" i="1"/>
  <c r="R290" i="1"/>
  <c r="R291" i="1"/>
  <c r="R292" i="1"/>
  <c r="H293" i="3" s="1"/>
  <c r="R293" i="1"/>
  <c r="H294" i="3" s="1"/>
  <c r="R294" i="1"/>
  <c r="R295" i="1"/>
  <c r="R296" i="1"/>
  <c r="R297" i="1"/>
  <c r="H298" i="3" s="1"/>
  <c r="R298" i="1"/>
  <c r="R299" i="1"/>
  <c r="R300" i="1"/>
  <c r="H301" i="3" s="1"/>
  <c r="R301" i="1"/>
  <c r="H302" i="3" s="1"/>
  <c r="R302" i="1"/>
  <c r="R303" i="1"/>
  <c r="R304" i="1"/>
  <c r="R305" i="1"/>
  <c r="H306" i="3" s="1"/>
  <c r="R306" i="1"/>
  <c r="R307" i="1"/>
  <c r="R308" i="1"/>
  <c r="R309" i="1"/>
  <c r="H310" i="3" s="1"/>
  <c r="R310" i="1"/>
  <c r="R311" i="1"/>
  <c r="R312" i="1"/>
  <c r="R313" i="1"/>
  <c r="H314" i="3" s="1"/>
  <c r="R314" i="1"/>
  <c r="R315" i="1"/>
  <c r="R316" i="1"/>
  <c r="H317" i="3" s="1"/>
  <c r="R317" i="1"/>
  <c r="H318" i="3" s="1"/>
  <c r="R318" i="1"/>
  <c r="R319" i="1"/>
  <c r="R320" i="1"/>
  <c r="R321" i="1"/>
  <c r="H322" i="3" s="1"/>
  <c r="R322" i="1"/>
  <c r="R323" i="1"/>
  <c r="R324" i="1"/>
  <c r="H325" i="3" s="1"/>
  <c r="R325" i="1"/>
  <c r="H326" i="3" s="1"/>
  <c r="R326" i="1"/>
  <c r="R327" i="1"/>
  <c r="R328" i="1"/>
  <c r="H329" i="3" s="1"/>
  <c r="R329" i="1"/>
  <c r="H330" i="3" s="1"/>
  <c r="R330" i="1"/>
  <c r="R331" i="1"/>
  <c r="R332" i="1"/>
  <c r="R333" i="1"/>
  <c r="R334" i="1"/>
  <c r="R335" i="1"/>
  <c r="R336" i="1"/>
  <c r="H337" i="3" s="1"/>
  <c r="R337" i="1"/>
  <c r="R338" i="1"/>
  <c r="R339" i="1"/>
  <c r="H340" i="3" s="1"/>
  <c r="R340" i="1"/>
  <c r="R341" i="1"/>
  <c r="H342" i="3" s="1"/>
  <c r="R342" i="1"/>
  <c r="R343" i="1"/>
  <c r="R344" i="1"/>
  <c r="H345" i="3" s="1"/>
  <c r="R345" i="1"/>
  <c r="H346" i="3" s="1"/>
  <c r="R346" i="1"/>
  <c r="R347" i="1"/>
  <c r="H348" i="3" s="1"/>
  <c r="R348" i="1"/>
  <c r="R349" i="1"/>
  <c r="H350" i="3" s="1"/>
  <c r="R350" i="1"/>
  <c r="R351" i="1"/>
  <c r="H352" i="3" s="1"/>
  <c r="R352" i="1"/>
  <c r="H353" i="3" s="1"/>
  <c r="R353" i="1"/>
  <c r="H354" i="3" s="1"/>
  <c r="R354" i="1"/>
  <c r="R355" i="1"/>
  <c r="H356" i="3" s="1"/>
  <c r="R356" i="1"/>
  <c r="H357" i="3" s="1"/>
  <c r="R357" i="1"/>
  <c r="H358" i="3" s="1"/>
  <c r="R358" i="1"/>
  <c r="R359" i="1"/>
  <c r="R360" i="1"/>
  <c r="H361" i="3" s="1"/>
  <c r="R361" i="1"/>
  <c r="R362" i="1"/>
  <c r="R363" i="1"/>
  <c r="R364" i="1"/>
  <c r="R365" i="1"/>
  <c r="R366" i="1"/>
  <c r="R367" i="1"/>
  <c r="R368" i="1"/>
  <c r="H369" i="3" s="1"/>
  <c r="R369" i="1"/>
  <c r="R370" i="1"/>
  <c r="R371" i="1"/>
  <c r="R372" i="1"/>
  <c r="H373" i="3" s="1"/>
  <c r="R373" i="1"/>
  <c r="R374" i="1"/>
  <c r="R375" i="1"/>
  <c r="R376" i="1"/>
  <c r="H377" i="3" s="1"/>
  <c r="R377" i="1"/>
  <c r="R378" i="1"/>
  <c r="R379" i="1"/>
  <c r="R380" i="1"/>
  <c r="H381" i="3" s="1"/>
  <c r="R381" i="1"/>
  <c r="R382" i="1"/>
  <c r="R383" i="1"/>
  <c r="R384" i="1"/>
  <c r="H385" i="3" s="1"/>
  <c r="R385" i="1"/>
  <c r="R386" i="1"/>
  <c r="R387" i="1"/>
  <c r="R388" i="1"/>
  <c r="H389" i="3" s="1"/>
  <c r="R389" i="1"/>
  <c r="H390" i="3" s="1"/>
  <c r="R390" i="1"/>
  <c r="R391" i="1"/>
  <c r="H392" i="3" s="1"/>
  <c r="R392" i="1"/>
  <c r="H393" i="3" s="1"/>
  <c r="R393" i="1"/>
  <c r="H394" i="3" s="1"/>
  <c r="R394" i="1"/>
  <c r="R395" i="1"/>
  <c r="R396" i="1"/>
  <c r="H397" i="3" s="1"/>
  <c r="R397" i="1"/>
  <c r="H398" i="3" s="1"/>
  <c r="R398" i="1"/>
  <c r="H399" i="3" s="1"/>
  <c r="R399" i="1"/>
  <c r="R400" i="1"/>
  <c r="H401" i="3" s="1"/>
  <c r="R401" i="1"/>
  <c r="H402" i="3" s="1"/>
  <c r="R402" i="1"/>
  <c r="R403" i="1"/>
  <c r="R404" i="1"/>
  <c r="H405" i="3" s="1"/>
  <c r="R405" i="1"/>
  <c r="H406" i="3" s="1"/>
  <c r="R406" i="1"/>
  <c r="R407" i="1"/>
  <c r="R408" i="1"/>
  <c r="H409" i="3" s="1"/>
  <c r="R409" i="1"/>
  <c r="H410" i="3" s="1"/>
  <c r="R410" i="1"/>
  <c r="R411" i="1"/>
  <c r="R412" i="1"/>
  <c r="H413" i="3" s="1"/>
  <c r="R413" i="1"/>
  <c r="R414" i="1"/>
  <c r="R415" i="1"/>
  <c r="H416" i="3" s="1"/>
  <c r="R416" i="1"/>
  <c r="H417" i="3" s="1"/>
  <c r="R417" i="1"/>
  <c r="R418" i="1"/>
  <c r="R419" i="1"/>
  <c r="R420" i="1"/>
  <c r="H421" i="3" s="1"/>
  <c r="R421" i="1"/>
  <c r="H422" i="3" s="1"/>
  <c r="R422" i="1"/>
  <c r="R423" i="1"/>
  <c r="R424" i="1"/>
  <c r="H425" i="3" s="1"/>
  <c r="R425" i="1"/>
  <c r="R426" i="1"/>
  <c r="R427" i="1"/>
  <c r="R428" i="1"/>
  <c r="H429" i="3" s="1"/>
  <c r="R429" i="1"/>
  <c r="H430" i="3" s="1"/>
  <c r="R430" i="1"/>
  <c r="G72" i="3"/>
  <c r="E8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" i="3"/>
  <c r="B5" i="3"/>
  <c r="K5" i="3" s="1"/>
  <c r="B6" i="3"/>
  <c r="K6" i="3" s="1"/>
  <c r="B7" i="3"/>
  <c r="K7" i="3" s="1"/>
  <c r="B8" i="3"/>
  <c r="K8" i="3" s="1"/>
  <c r="B9" i="3"/>
  <c r="K9" i="3" s="1"/>
  <c r="B10" i="3"/>
  <c r="K10" i="3" s="1"/>
  <c r="B11" i="3"/>
  <c r="K11" i="3" s="1"/>
  <c r="B12" i="3"/>
  <c r="K12" i="3" s="1"/>
  <c r="B13" i="3"/>
  <c r="K13" i="3" s="1"/>
  <c r="B14" i="3"/>
  <c r="K14" i="3" s="1"/>
  <c r="B15" i="3"/>
  <c r="K15" i="3" s="1"/>
  <c r="B16" i="3"/>
  <c r="K16" i="3" s="1"/>
  <c r="B17" i="3"/>
  <c r="K17" i="3" s="1"/>
  <c r="B18" i="3"/>
  <c r="K18" i="3" s="1"/>
  <c r="B19" i="3"/>
  <c r="K19" i="3" s="1"/>
  <c r="B20" i="3"/>
  <c r="K20" i="3" s="1"/>
  <c r="B21" i="3"/>
  <c r="K21" i="3" s="1"/>
  <c r="B22" i="3"/>
  <c r="K22" i="3" s="1"/>
  <c r="B23" i="3"/>
  <c r="K23" i="3" s="1"/>
  <c r="B24" i="3"/>
  <c r="K24" i="3" s="1"/>
  <c r="B25" i="3"/>
  <c r="K25" i="3" s="1"/>
  <c r="B26" i="3"/>
  <c r="K26" i="3" s="1"/>
  <c r="B27" i="3"/>
  <c r="K27" i="3" s="1"/>
  <c r="B28" i="3"/>
  <c r="K28" i="3" s="1"/>
  <c r="B29" i="3"/>
  <c r="K29" i="3" s="1"/>
  <c r="B30" i="3"/>
  <c r="K30" i="3" s="1"/>
  <c r="B31" i="3"/>
  <c r="K31" i="3" s="1"/>
  <c r="B32" i="3"/>
  <c r="K32" i="3" s="1"/>
  <c r="B33" i="3"/>
  <c r="K33" i="3" s="1"/>
  <c r="B34" i="3"/>
  <c r="K34" i="3" s="1"/>
  <c r="B35" i="3"/>
  <c r="K35" i="3" s="1"/>
  <c r="B36" i="3"/>
  <c r="K36" i="3" s="1"/>
  <c r="B37" i="3"/>
  <c r="K37" i="3" s="1"/>
  <c r="B38" i="3"/>
  <c r="K38" i="3" s="1"/>
  <c r="B39" i="3"/>
  <c r="K39" i="3" s="1"/>
  <c r="B40" i="3"/>
  <c r="K40" i="3" s="1"/>
  <c r="B41" i="3"/>
  <c r="K41" i="3" s="1"/>
  <c r="B42" i="3"/>
  <c r="K42" i="3" s="1"/>
  <c r="B43" i="3"/>
  <c r="K43" i="3" s="1"/>
  <c r="B44" i="3"/>
  <c r="K44" i="3" s="1"/>
  <c r="B45" i="3"/>
  <c r="K45" i="3" s="1"/>
  <c r="B46" i="3"/>
  <c r="K46" i="3" s="1"/>
  <c r="B47" i="3"/>
  <c r="K47" i="3" s="1"/>
  <c r="B48" i="3"/>
  <c r="K48" i="3" s="1"/>
  <c r="B49" i="3"/>
  <c r="K49" i="3" s="1"/>
  <c r="B50" i="3"/>
  <c r="K50" i="3" s="1"/>
  <c r="B51" i="3"/>
  <c r="K51" i="3" s="1"/>
  <c r="B52" i="3"/>
  <c r="K52" i="3" s="1"/>
  <c r="B53" i="3"/>
  <c r="K53" i="3" s="1"/>
  <c r="B54" i="3"/>
  <c r="K54" i="3" s="1"/>
  <c r="B55" i="3"/>
  <c r="K55" i="3" s="1"/>
  <c r="B56" i="3"/>
  <c r="K56" i="3" s="1"/>
  <c r="B57" i="3"/>
  <c r="K57" i="3" s="1"/>
  <c r="B58" i="3"/>
  <c r="K58" i="3" s="1"/>
  <c r="B59" i="3"/>
  <c r="K59" i="3" s="1"/>
  <c r="B60" i="3"/>
  <c r="K60" i="3" s="1"/>
  <c r="B61" i="3"/>
  <c r="K61" i="3" s="1"/>
  <c r="B62" i="3"/>
  <c r="K62" i="3" s="1"/>
  <c r="B63" i="3"/>
  <c r="K63" i="3" s="1"/>
  <c r="B64" i="3"/>
  <c r="K64" i="3" s="1"/>
  <c r="B65" i="3"/>
  <c r="K65" i="3" s="1"/>
  <c r="B66" i="3"/>
  <c r="K66" i="3" s="1"/>
  <c r="B67" i="3"/>
  <c r="K67" i="3" s="1"/>
  <c r="B68" i="3"/>
  <c r="K68" i="3" s="1"/>
  <c r="B69" i="3"/>
  <c r="K69" i="3" s="1"/>
  <c r="B70" i="3"/>
  <c r="K70" i="3" s="1"/>
  <c r="B71" i="3"/>
  <c r="K71" i="3" s="1"/>
  <c r="B72" i="3"/>
  <c r="K72" i="3" s="1"/>
  <c r="B73" i="3"/>
  <c r="K73" i="3" s="1"/>
  <c r="B74" i="3"/>
  <c r="K74" i="3" s="1"/>
  <c r="B75" i="3"/>
  <c r="K75" i="3" s="1"/>
  <c r="B76" i="3"/>
  <c r="K76" i="3" s="1"/>
  <c r="B77" i="3"/>
  <c r="K77" i="3" s="1"/>
  <c r="B78" i="3"/>
  <c r="K78" i="3" s="1"/>
  <c r="B79" i="3"/>
  <c r="K79" i="3" s="1"/>
  <c r="B80" i="3"/>
  <c r="K80" i="3" s="1"/>
  <c r="B81" i="3"/>
  <c r="K81" i="3" s="1"/>
  <c r="B82" i="3"/>
  <c r="K82" i="3" s="1"/>
  <c r="B83" i="3"/>
  <c r="K83" i="3" s="1"/>
  <c r="B84" i="3"/>
  <c r="K84" i="3" s="1"/>
  <c r="B85" i="3"/>
  <c r="K85" i="3" s="1"/>
  <c r="B86" i="3"/>
  <c r="K86" i="3" s="1"/>
  <c r="B87" i="3"/>
  <c r="K87" i="3" s="1"/>
  <c r="B88" i="3"/>
  <c r="K88" i="3" s="1"/>
  <c r="B89" i="3"/>
  <c r="K89" i="3" s="1"/>
  <c r="B90" i="3"/>
  <c r="K90" i="3" s="1"/>
  <c r="B91" i="3"/>
  <c r="K91" i="3" s="1"/>
  <c r="B92" i="3"/>
  <c r="K92" i="3" s="1"/>
  <c r="B93" i="3"/>
  <c r="K93" i="3" s="1"/>
  <c r="B94" i="3"/>
  <c r="K94" i="3" s="1"/>
  <c r="B95" i="3"/>
  <c r="K95" i="3" s="1"/>
  <c r="B96" i="3"/>
  <c r="K96" i="3" s="1"/>
  <c r="B97" i="3"/>
  <c r="K97" i="3" s="1"/>
  <c r="B98" i="3"/>
  <c r="K98" i="3" s="1"/>
  <c r="B99" i="3"/>
  <c r="K99" i="3" s="1"/>
  <c r="B100" i="3"/>
  <c r="K100" i="3" s="1"/>
  <c r="B101" i="3"/>
  <c r="K101" i="3" s="1"/>
  <c r="B102" i="3"/>
  <c r="K102" i="3" s="1"/>
  <c r="B103" i="3"/>
  <c r="K103" i="3" s="1"/>
  <c r="B104" i="3"/>
  <c r="K104" i="3" s="1"/>
  <c r="B105" i="3"/>
  <c r="K105" i="3" s="1"/>
  <c r="B106" i="3"/>
  <c r="K106" i="3" s="1"/>
  <c r="B107" i="3"/>
  <c r="K107" i="3" s="1"/>
  <c r="B108" i="3"/>
  <c r="K108" i="3" s="1"/>
  <c r="B109" i="3"/>
  <c r="K109" i="3" s="1"/>
  <c r="B110" i="3"/>
  <c r="K110" i="3" s="1"/>
  <c r="B111" i="3"/>
  <c r="K111" i="3" s="1"/>
  <c r="B112" i="3"/>
  <c r="K112" i="3" s="1"/>
  <c r="B113" i="3"/>
  <c r="K113" i="3" s="1"/>
  <c r="B114" i="3"/>
  <c r="K114" i="3" s="1"/>
  <c r="B115" i="3"/>
  <c r="K115" i="3" s="1"/>
  <c r="B116" i="3"/>
  <c r="K116" i="3" s="1"/>
  <c r="B117" i="3"/>
  <c r="K117" i="3" s="1"/>
  <c r="B118" i="3"/>
  <c r="K118" i="3" s="1"/>
  <c r="B119" i="3"/>
  <c r="K119" i="3" s="1"/>
  <c r="B120" i="3"/>
  <c r="K120" i="3" s="1"/>
  <c r="B121" i="3"/>
  <c r="K121" i="3" s="1"/>
  <c r="B122" i="3"/>
  <c r="K122" i="3" s="1"/>
  <c r="B123" i="3"/>
  <c r="K123" i="3" s="1"/>
  <c r="B124" i="3"/>
  <c r="K124" i="3" s="1"/>
  <c r="B125" i="3"/>
  <c r="K125" i="3" s="1"/>
  <c r="B126" i="3"/>
  <c r="K126" i="3" s="1"/>
  <c r="B127" i="3"/>
  <c r="K127" i="3" s="1"/>
  <c r="B128" i="3"/>
  <c r="K128" i="3" s="1"/>
  <c r="B129" i="3"/>
  <c r="K129" i="3" s="1"/>
  <c r="B130" i="3"/>
  <c r="K130" i="3" s="1"/>
  <c r="B131" i="3"/>
  <c r="K131" i="3" s="1"/>
  <c r="B132" i="3"/>
  <c r="K132" i="3" s="1"/>
  <c r="B133" i="3"/>
  <c r="K133" i="3" s="1"/>
  <c r="B134" i="3"/>
  <c r="K134" i="3" s="1"/>
  <c r="B135" i="3"/>
  <c r="K135" i="3" s="1"/>
  <c r="B136" i="3"/>
  <c r="K136" i="3" s="1"/>
  <c r="B137" i="3"/>
  <c r="K137" i="3" s="1"/>
  <c r="B138" i="3"/>
  <c r="K138" i="3" s="1"/>
  <c r="B139" i="3"/>
  <c r="K139" i="3" s="1"/>
  <c r="B140" i="3"/>
  <c r="K140" i="3" s="1"/>
  <c r="B141" i="3"/>
  <c r="K141" i="3" s="1"/>
  <c r="B142" i="3"/>
  <c r="K142" i="3" s="1"/>
  <c r="B143" i="3"/>
  <c r="K143" i="3" s="1"/>
  <c r="B144" i="3"/>
  <c r="K144" i="3" s="1"/>
  <c r="B145" i="3"/>
  <c r="K145" i="3" s="1"/>
  <c r="B146" i="3"/>
  <c r="K146" i="3" s="1"/>
  <c r="B147" i="3"/>
  <c r="K147" i="3" s="1"/>
  <c r="B148" i="3"/>
  <c r="K148" i="3" s="1"/>
  <c r="B149" i="3"/>
  <c r="K149" i="3" s="1"/>
  <c r="B150" i="3"/>
  <c r="K150" i="3" s="1"/>
  <c r="B151" i="3"/>
  <c r="K151" i="3" s="1"/>
  <c r="B152" i="3"/>
  <c r="K152" i="3" s="1"/>
  <c r="B153" i="3"/>
  <c r="K153" i="3" s="1"/>
  <c r="B154" i="3"/>
  <c r="K154" i="3" s="1"/>
  <c r="B155" i="3"/>
  <c r="K155" i="3" s="1"/>
  <c r="B156" i="3"/>
  <c r="K156" i="3" s="1"/>
  <c r="B157" i="3"/>
  <c r="K157" i="3" s="1"/>
  <c r="B158" i="3"/>
  <c r="K158" i="3" s="1"/>
  <c r="B159" i="3"/>
  <c r="K159" i="3" s="1"/>
  <c r="B160" i="3"/>
  <c r="K160" i="3" s="1"/>
  <c r="B161" i="3"/>
  <c r="K161" i="3" s="1"/>
  <c r="B162" i="3"/>
  <c r="K162" i="3" s="1"/>
  <c r="B163" i="3"/>
  <c r="K163" i="3" s="1"/>
  <c r="B164" i="3"/>
  <c r="K164" i="3" s="1"/>
  <c r="B165" i="3"/>
  <c r="K165" i="3" s="1"/>
  <c r="B166" i="3"/>
  <c r="K166" i="3" s="1"/>
  <c r="B167" i="3"/>
  <c r="K167" i="3" s="1"/>
  <c r="B168" i="3"/>
  <c r="K168" i="3" s="1"/>
  <c r="B169" i="3"/>
  <c r="K169" i="3" s="1"/>
  <c r="B170" i="3"/>
  <c r="K170" i="3" s="1"/>
  <c r="B171" i="3"/>
  <c r="K171" i="3" s="1"/>
  <c r="B172" i="3"/>
  <c r="K172" i="3" s="1"/>
  <c r="B173" i="3"/>
  <c r="K173" i="3" s="1"/>
  <c r="B174" i="3"/>
  <c r="K174" i="3" s="1"/>
  <c r="B175" i="3"/>
  <c r="K175" i="3" s="1"/>
  <c r="B176" i="3"/>
  <c r="K176" i="3" s="1"/>
  <c r="B177" i="3"/>
  <c r="K177" i="3" s="1"/>
  <c r="B178" i="3"/>
  <c r="K178" i="3" s="1"/>
  <c r="B179" i="3"/>
  <c r="K179" i="3" s="1"/>
  <c r="B180" i="3"/>
  <c r="K180" i="3" s="1"/>
  <c r="B181" i="3"/>
  <c r="K181" i="3" s="1"/>
  <c r="B182" i="3"/>
  <c r="K182" i="3" s="1"/>
  <c r="B183" i="3"/>
  <c r="K183" i="3" s="1"/>
  <c r="B184" i="3"/>
  <c r="K184" i="3" s="1"/>
  <c r="B185" i="3"/>
  <c r="K185" i="3" s="1"/>
  <c r="B186" i="3"/>
  <c r="K186" i="3" s="1"/>
  <c r="B187" i="3"/>
  <c r="K187" i="3" s="1"/>
  <c r="B188" i="3"/>
  <c r="K188" i="3" s="1"/>
  <c r="B189" i="3"/>
  <c r="K189" i="3" s="1"/>
  <c r="B190" i="3"/>
  <c r="K190" i="3" s="1"/>
  <c r="B191" i="3"/>
  <c r="K191" i="3" s="1"/>
  <c r="B192" i="3"/>
  <c r="K192" i="3" s="1"/>
  <c r="B193" i="3"/>
  <c r="K193" i="3" s="1"/>
  <c r="B194" i="3"/>
  <c r="K194" i="3" s="1"/>
  <c r="B195" i="3"/>
  <c r="K195" i="3" s="1"/>
  <c r="B196" i="3"/>
  <c r="K196" i="3" s="1"/>
  <c r="B197" i="3"/>
  <c r="K197" i="3" s="1"/>
  <c r="B198" i="3"/>
  <c r="K198" i="3" s="1"/>
  <c r="B199" i="3"/>
  <c r="K199" i="3" s="1"/>
  <c r="B200" i="3"/>
  <c r="K200" i="3" s="1"/>
  <c r="B201" i="3"/>
  <c r="K201" i="3" s="1"/>
  <c r="B202" i="3"/>
  <c r="K202" i="3" s="1"/>
  <c r="B203" i="3"/>
  <c r="K203" i="3" s="1"/>
  <c r="B204" i="3"/>
  <c r="K204" i="3" s="1"/>
  <c r="B205" i="3"/>
  <c r="K205" i="3" s="1"/>
  <c r="B206" i="3"/>
  <c r="K206" i="3" s="1"/>
  <c r="B207" i="3"/>
  <c r="K207" i="3" s="1"/>
  <c r="B208" i="3"/>
  <c r="K208" i="3" s="1"/>
  <c r="B209" i="3"/>
  <c r="K209" i="3" s="1"/>
  <c r="B210" i="3"/>
  <c r="K210" i="3" s="1"/>
  <c r="B211" i="3"/>
  <c r="K211" i="3" s="1"/>
  <c r="B212" i="3"/>
  <c r="K212" i="3" s="1"/>
  <c r="B213" i="3"/>
  <c r="K213" i="3" s="1"/>
  <c r="B214" i="3"/>
  <c r="K214" i="3" s="1"/>
  <c r="B215" i="3"/>
  <c r="K215" i="3" s="1"/>
  <c r="B216" i="3"/>
  <c r="K216" i="3" s="1"/>
  <c r="B217" i="3"/>
  <c r="K217" i="3" s="1"/>
  <c r="B218" i="3"/>
  <c r="K218" i="3" s="1"/>
  <c r="B219" i="3"/>
  <c r="K219" i="3" s="1"/>
  <c r="B220" i="3"/>
  <c r="K220" i="3" s="1"/>
  <c r="B221" i="3"/>
  <c r="K221" i="3" s="1"/>
  <c r="B222" i="3"/>
  <c r="K222" i="3" s="1"/>
  <c r="B223" i="3"/>
  <c r="K223" i="3" s="1"/>
  <c r="B224" i="3"/>
  <c r="K224" i="3" s="1"/>
  <c r="B225" i="3"/>
  <c r="K225" i="3" s="1"/>
  <c r="B226" i="3"/>
  <c r="K226" i="3" s="1"/>
  <c r="B227" i="3"/>
  <c r="K227" i="3" s="1"/>
  <c r="B228" i="3"/>
  <c r="K228" i="3" s="1"/>
  <c r="B229" i="3"/>
  <c r="K229" i="3" s="1"/>
  <c r="B230" i="3"/>
  <c r="K230" i="3" s="1"/>
  <c r="B231" i="3"/>
  <c r="K231" i="3" s="1"/>
  <c r="B232" i="3"/>
  <c r="K232" i="3" s="1"/>
  <c r="B233" i="3"/>
  <c r="K233" i="3" s="1"/>
  <c r="B234" i="3"/>
  <c r="K234" i="3" s="1"/>
  <c r="B235" i="3"/>
  <c r="K235" i="3" s="1"/>
  <c r="B236" i="3"/>
  <c r="K236" i="3" s="1"/>
  <c r="B237" i="3"/>
  <c r="K237" i="3" s="1"/>
  <c r="B238" i="3"/>
  <c r="K238" i="3" s="1"/>
  <c r="B239" i="3"/>
  <c r="K239" i="3" s="1"/>
  <c r="B240" i="3"/>
  <c r="K240" i="3" s="1"/>
  <c r="B241" i="3"/>
  <c r="K241" i="3" s="1"/>
  <c r="B242" i="3"/>
  <c r="K242" i="3" s="1"/>
  <c r="B243" i="3"/>
  <c r="K243" i="3" s="1"/>
  <c r="B244" i="3"/>
  <c r="K244" i="3" s="1"/>
  <c r="B245" i="3"/>
  <c r="K245" i="3" s="1"/>
  <c r="B246" i="3"/>
  <c r="K246" i="3" s="1"/>
  <c r="B247" i="3"/>
  <c r="K247" i="3" s="1"/>
  <c r="B248" i="3"/>
  <c r="K248" i="3" s="1"/>
  <c r="B249" i="3"/>
  <c r="K249" i="3" s="1"/>
  <c r="B250" i="3"/>
  <c r="K250" i="3" s="1"/>
  <c r="B251" i="3"/>
  <c r="K251" i="3" s="1"/>
  <c r="B252" i="3"/>
  <c r="K252" i="3" s="1"/>
  <c r="B253" i="3"/>
  <c r="K253" i="3" s="1"/>
  <c r="B254" i="3"/>
  <c r="K254" i="3" s="1"/>
  <c r="B255" i="3"/>
  <c r="K255" i="3" s="1"/>
  <c r="B256" i="3"/>
  <c r="K256" i="3" s="1"/>
  <c r="B257" i="3"/>
  <c r="K257" i="3" s="1"/>
  <c r="B258" i="3"/>
  <c r="K258" i="3" s="1"/>
  <c r="B259" i="3"/>
  <c r="K259" i="3" s="1"/>
  <c r="B260" i="3"/>
  <c r="K260" i="3" s="1"/>
  <c r="B261" i="3"/>
  <c r="K261" i="3" s="1"/>
  <c r="B262" i="3"/>
  <c r="K262" i="3" s="1"/>
  <c r="B263" i="3"/>
  <c r="K263" i="3" s="1"/>
  <c r="B264" i="3"/>
  <c r="K264" i="3" s="1"/>
  <c r="B265" i="3"/>
  <c r="K265" i="3" s="1"/>
  <c r="B266" i="3"/>
  <c r="K266" i="3" s="1"/>
  <c r="B267" i="3"/>
  <c r="K267" i="3" s="1"/>
  <c r="B268" i="3"/>
  <c r="K268" i="3" s="1"/>
  <c r="B269" i="3"/>
  <c r="K269" i="3" s="1"/>
  <c r="B270" i="3"/>
  <c r="K270" i="3" s="1"/>
  <c r="B271" i="3"/>
  <c r="K271" i="3" s="1"/>
  <c r="B272" i="3"/>
  <c r="K272" i="3" s="1"/>
  <c r="B273" i="3"/>
  <c r="K273" i="3" s="1"/>
  <c r="B274" i="3"/>
  <c r="K274" i="3" s="1"/>
  <c r="B275" i="3"/>
  <c r="K275" i="3" s="1"/>
  <c r="B276" i="3"/>
  <c r="K276" i="3" s="1"/>
  <c r="B277" i="3"/>
  <c r="K277" i="3" s="1"/>
  <c r="B278" i="3"/>
  <c r="K278" i="3" s="1"/>
  <c r="B279" i="3"/>
  <c r="K279" i="3" s="1"/>
  <c r="B280" i="3"/>
  <c r="K280" i="3" s="1"/>
  <c r="B281" i="3"/>
  <c r="K281" i="3" s="1"/>
  <c r="B282" i="3"/>
  <c r="K282" i="3" s="1"/>
  <c r="B283" i="3"/>
  <c r="K283" i="3" s="1"/>
  <c r="B284" i="3"/>
  <c r="K284" i="3" s="1"/>
  <c r="B285" i="3"/>
  <c r="K285" i="3" s="1"/>
  <c r="B286" i="3"/>
  <c r="K286" i="3" s="1"/>
  <c r="B287" i="3"/>
  <c r="K287" i="3" s="1"/>
  <c r="B288" i="3"/>
  <c r="K288" i="3" s="1"/>
  <c r="B289" i="3"/>
  <c r="K289" i="3" s="1"/>
  <c r="B290" i="3"/>
  <c r="K290" i="3" s="1"/>
  <c r="B291" i="3"/>
  <c r="K291" i="3" s="1"/>
  <c r="B292" i="3"/>
  <c r="K292" i="3" s="1"/>
  <c r="B293" i="3"/>
  <c r="K293" i="3" s="1"/>
  <c r="B294" i="3"/>
  <c r="K294" i="3" s="1"/>
  <c r="B295" i="3"/>
  <c r="K295" i="3" s="1"/>
  <c r="B296" i="3"/>
  <c r="K296" i="3" s="1"/>
  <c r="B297" i="3"/>
  <c r="K297" i="3" s="1"/>
  <c r="B298" i="3"/>
  <c r="K298" i="3" s="1"/>
  <c r="B299" i="3"/>
  <c r="K299" i="3" s="1"/>
  <c r="B300" i="3"/>
  <c r="K300" i="3" s="1"/>
  <c r="B301" i="3"/>
  <c r="K301" i="3" s="1"/>
  <c r="B302" i="3"/>
  <c r="K302" i="3" s="1"/>
  <c r="B303" i="3"/>
  <c r="K303" i="3" s="1"/>
  <c r="B304" i="3"/>
  <c r="K304" i="3" s="1"/>
  <c r="B305" i="3"/>
  <c r="K305" i="3" s="1"/>
  <c r="B306" i="3"/>
  <c r="K306" i="3" s="1"/>
  <c r="B307" i="3"/>
  <c r="K307" i="3" s="1"/>
  <c r="B308" i="3"/>
  <c r="K308" i="3" s="1"/>
  <c r="B309" i="3"/>
  <c r="K309" i="3" s="1"/>
  <c r="B310" i="3"/>
  <c r="K310" i="3" s="1"/>
  <c r="B311" i="3"/>
  <c r="K311" i="3" s="1"/>
  <c r="B312" i="3"/>
  <c r="K312" i="3" s="1"/>
  <c r="B313" i="3"/>
  <c r="K313" i="3" s="1"/>
  <c r="B314" i="3"/>
  <c r="K314" i="3" s="1"/>
  <c r="B315" i="3"/>
  <c r="K315" i="3" s="1"/>
  <c r="B316" i="3"/>
  <c r="K316" i="3" s="1"/>
  <c r="B317" i="3"/>
  <c r="K317" i="3" s="1"/>
  <c r="B318" i="3"/>
  <c r="K318" i="3" s="1"/>
  <c r="B319" i="3"/>
  <c r="K319" i="3" s="1"/>
  <c r="B320" i="3"/>
  <c r="K320" i="3" s="1"/>
  <c r="B321" i="3"/>
  <c r="K321" i="3" s="1"/>
  <c r="B322" i="3"/>
  <c r="K322" i="3" s="1"/>
  <c r="B323" i="3"/>
  <c r="K323" i="3" s="1"/>
  <c r="B324" i="3"/>
  <c r="K324" i="3" s="1"/>
  <c r="B325" i="3"/>
  <c r="K325" i="3" s="1"/>
  <c r="B326" i="3"/>
  <c r="K326" i="3" s="1"/>
  <c r="B327" i="3"/>
  <c r="K327" i="3" s="1"/>
  <c r="B328" i="3"/>
  <c r="K328" i="3" s="1"/>
  <c r="B329" i="3"/>
  <c r="K329" i="3" s="1"/>
  <c r="B330" i="3"/>
  <c r="K330" i="3" s="1"/>
  <c r="B331" i="3"/>
  <c r="K331" i="3" s="1"/>
  <c r="B332" i="3"/>
  <c r="K332" i="3" s="1"/>
  <c r="B333" i="3"/>
  <c r="K333" i="3" s="1"/>
  <c r="B334" i="3"/>
  <c r="K334" i="3" s="1"/>
  <c r="B335" i="3"/>
  <c r="K335" i="3" s="1"/>
  <c r="B336" i="3"/>
  <c r="K336" i="3" s="1"/>
  <c r="B337" i="3"/>
  <c r="K337" i="3" s="1"/>
  <c r="B338" i="3"/>
  <c r="K338" i="3" s="1"/>
  <c r="B339" i="3"/>
  <c r="K339" i="3" s="1"/>
  <c r="B340" i="3"/>
  <c r="K340" i="3" s="1"/>
  <c r="B341" i="3"/>
  <c r="K341" i="3" s="1"/>
  <c r="B342" i="3"/>
  <c r="K342" i="3" s="1"/>
  <c r="B343" i="3"/>
  <c r="K343" i="3" s="1"/>
  <c r="B344" i="3"/>
  <c r="K344" i="3" s="1"/>
  <c r="B345" i="3"/>
  <c r="K345" i="3" s="1"/>
  <c r="B346" i="3"/>
  <c r="K346" i="3" s="1"/>
  <c r="B347" i="3"/>
  <c r="K347" i="3" s="1"/>
  <c r="B348" i="3"/>
  <c r="K348" i="3" s="1"/>
  <c r="B349" i="3"/>
  <c r="K349" i="3" s="1"/>
  <c r="B350" i="3"/>
  <c r="K350" i="3" s="1"/>
  <c r="B351" i="3"/>
  <c r="K351" i="3" s="1"/>
  <c r="B352" i="3"/>
  <c r="K352" i="3" s="1"/>
  <c r="B353" i="3"/>
  <c r="K353" i="3" s="1"/>
  <c r="B354" i="3"/>
  <c r="K354" i="3" s="1"/>
  <c r="B355" i="3"/>
  <c r="K355" i="3" s="1"/>
  <c r="B356" i="3"/>
  <c r="K356" i="3" s="1"/>
  <c r="B357" i="3"/>
  <c r="K357" i="3" s="1"/>
  <c r="B358" i="3"/>
  <c r="K358" i="3" s="1"/>
  <c r="B359" i="3"/>
  <c r="K359" i="3" s="1"/>
  <c r="B360" i="3"/>
  <c r="K360" i="3" s="1"/>
  <c r="B361" i="3"/>
  <c r="K361" i="3" s="1"/>
  <c r="B362" i="3"/>
  <c r="K362" i="3" s="1"/>
  <c r="B363" i="3"/>
  <c r="K363" i="3" s="1"/>
  <c r="B364" i="3"/>
  <c r="K364" i="3" s="1"/>
  <c r="B365" i="3"/>
  <c r="K365" i="3" s="1"/>
  <c r="B366" i="3"/>
  <c r="K366" i="3" s="1"/>
  <c r="B367" i="3"/>
  <c r="K367" i="3" s="1"/>
  <c r="B368" i="3"/>
  <c r="K368" i="3" s="1"/>
  <c r="B369" i="3"/>
  <c r="K369" i="3" s="1"/>
  <c r="B370" i="3"/>
  <c r="K370" i="3" s="1"/>
  <c r="B371" i="3"/>
  <c r="K371" i="3" s="1"/>
  <c r="B372" i="3"/>
  <c r="K372" i="3" s="1"/>
  <c r="B373" i="3"/>
  <c r="K373" i="3" s="1"/>
  <c r="B374" i="3"/>
  <c r="K374" i="3" s="1"/>
  <c r="B375" i="3"/>
  <c r="K375" i="3" s="1"/>
  <c r="B376" i="3"/>
  <c r="K376" i="3" s="1"/>
  <c r="B377" i="3"/>
  <c r="K377" i="3" s="1"/>
  <c r="B378" i="3"/>
  <c r="K378" i="3" s="1"/>
  <c r="B379" i="3"/>
  <c r="K379" i="3" s="1"/>
  <c r="B380" i="3"/>
  <c r="K380" i="3" s="1"/>
  <c r="B381" i="3"/>
  <c r="K381" i="3" s="1"/>
  <c r="B382" i="3"/>
  <c r="K382" i="3" s="1"/>
  <c r="B383" i="3"/>
  <c r="K383" i="3" s="1"/>
  <c r="B384" i="3"/>
  <c r="K384" i="3" s="1"/>
  <c r="B385" i="3"/>
  <c r="K385" i="3" s="1"/>
  <c r="B386" i="3"/>
  <c r="K386" i="3" s="1"/>
  <c r="B387" i="3"/>
  <c r="K387" i="3" s="1"/>
  <c r="B388" i="3"/>
  <c r="K388" i="3" s="1"/>
  <c r="B389" i="3"/>
  <c r="K389" i="3" s="1"/>
  <c r="B390" i="3"/>
  <c r="K390" i="3" s="1"/>
  <c r="B391" i="3"/>
  <c r="K391" i="3" s="1"/>
  <c r="B392" i="3"/>
  <c r="K392" i="3" s="1"/>
  <c r="B393" i="3"/>
  <c r="K393" i="3" s="1"/>
  <c r="B394" i="3"/>
  <c r="K394" i="3" s="1"/>
  <c r="B395" i="3"/>
  <c r="K395" i="3" s="1"/>
  <c r="B396" i="3"/>
  <c r="K396" i="3" s="1"/>
  <c r="B397" i="3"/>
  <c r="K397" i="3" s="1"/>
  <c r="B398" i="3"/>
  <c r="K398" i="3" s="1"/>
  <c r="B399" i="3"/>
  <c r="K399" i="3" s="1"/>
  <c r="B400" i="3"/>
  <c r="K400" i="3" s="1"/>
  <c r="B401" i="3"/>
  <c r="K401" i="3" s="1"/>
  <c r="B402" i="3"/>
  <c r="K402" i="3" s="1"/>
  <c r="B403" i="3"/>
  <c r="K403" i="3" s="1"/>
  <c r="B404" i="3"/>
  <c r="K404" i="3" s="1"/>
  <c r="B405" i="3"/>
  <c r="K405" i="3" s="1"/>
  <c r="B406" i="3"/>
  <c r="K406" i="3" s="1"/>
  <c r="B407" i="3"/>
  <c r="K407" i="3" s="1"/>
  <c r="B408" i="3"/>
  <c r="K408" i="3" s="1"/>
  <c r="B409" i="3"/>
  <c r="K409" i="3" s="1"/>
  <c r="B410" i="3"/>
  <c r="K410" i="3" s="1"/>
  <c r="B411" i="3"/>
  <c r="K411" i="3" s="1"/>
  <c r="B412" i="3"/>
  <c r="K412" i="3" s="1"/>
  <c r="B413" i="3"/>
  <c r="K413" i="3" s="1"/>
  <c r="B414" i="3"/>
  <c r="K414" i="3" s="1"/>
  <c r="B415" i="3"/>
  <c r="K415" i="3" s="1"/>
  <c r="B416" i="3"/>
  <c r="K416" i="3" s="1"/>
  <c r="B417" i="3"/>
  <c r="K417" i="3" s="1"/>
  <c r="B418" i="3"/>
  <c r="K418" i="3" s="1"/>
  <c r="B419" i="3"/>
  <c r="K419" i="3" s="1"/>
  <c r="B420" i="3"/>
  <c r="K420" i="3" s="1"/>
  <c r="B421" i="3"/>
  <c r="K421" i="3" s="1"/>
  <c r="B422" i="3"/>
  <c r="K422" i="3" s="1"/>
  <c r="B423" i="3"/>
  <c r="K423" i="3" s="1"/>
  <c r="B424" i="3"/>
  <c r="K424" i="3" s="1"/>
  <c r="B425" i="3"/>
  <c r="K425" i="3" s="1"/>
  <c r="B426" i="3"/>
  <c r="K426" i="3" s="1"/>
  <c r="B427" i="3"/>
  <c r="K427" i="3" s="1"/>
  <c r="B428" i="3"/>
  <c r="K428" i="3" s="1"/>
  <c r="B429" i="3"/>
  <c r="K429" i="3" s="1"/>
  <c r="B430" i="3"/>
  <c r="K430" i="3" s="1"/>
  <c r="B431" i="3"/>
  <c r="K431" i="3" s="1"/>
  <c r="B4" i="3"/>
  <c r="K4" i="3" s="1"/>
  <c r="T113" i="3" l="1"/>
  <c r="AC113" i="3" s="1"/>
  <c r="T33" i="3"/>
  <c r="AC33" i="3" s="1"/>
  <c r="T424" i="3"/>
  <c r="AC424" i="3" s="1"/>
  <c r="T425" i="3"/>
  <c r="AC425" i="3" s="1"/>
  <c r="T321" i="3"/>
  <c r="AC321" i="3" s="1"/>
  <c r="T427" i="3"/>
  <c r="AC427" i="3" s="1"/>
  <c r="T395" i="3"/>
  <c r="AC395" i="3" s="1"/>
  <c r="T379" i="3"/>
  <c r="AC379" i="3" s="1"/>
  <c r="T363" i="3"/>
  <c r="AC363" i="3" s="1"/>
  <c r="T347" i="3"/>
  <c r="AC347" i="3" s="1"/>
  <c r="T397" i="3"/>
  <c r="AC397" i="3" s="1"/>
  <c r="T233" i="3"/>
  <c r="AC233" i="3" s="1"/>
  <c r="T21" i="3"/>
  <c r="AC21" i="3" s="1"/>
  <c r="T418" i="3"/>
  <c r="AC418" i="3" s="1"/>
  <c r="T402" i="3"/>
  <c r="AC402" i="3" s="1"/>
  <c r="T296" i="3"/>
  <c r="AC296" i="3" s="1"/>
  <c r="T264" i="3"/>
  <c r="AC264" i="3" s="1"/>
  <c r="T232" i="3"/>
  <c r="AC232" i="3" s="1"/>
  <c r="T200" i="3"/>
  <c r="AC200" i="3" s="1"/>
  <c r="T40" i="3"/>
  <c r="AC40" i="3" s="1"/>
  <c r="T24" i="3"/>
  <c r="AC24" i="3" s="1"/>
  <c r="T295" i="3"/>
  <c r="AC295" i="3" s="1"/>
  <c r="T231" i="3"/>
  <c r="AC231" i="3" s="1"/>
  <c r="T39" i="3"/>
  <c r="AC39" i="3" s="1"/>
  <c r="T23" i="3"/>
  <c r="AC23" i="3" s="1"/>
  <c r="T230" i="3"/>
  <c r="AC230" i="3" s="1"/>
  <c r="T38" i="3"/>
  <c r="AC38" i="3" s="1"/>
  <c r="T22" i="3"/>
  <c r="AC22" i="3" s="1"/>
  <c r="E136" i="3"/>
  <c r="G337" i="3"/>
  <c r="H182" i="3"/>
  <c r="H110" i="3"/>
  <c r="H98" i="3"/>
  <c r="I98" i="3"/>
  <c r="E351" i="3"/>
  <c r="E91" i="3"/>
  <c r="E83" i="3"/>
  <c r="F351" i="3"/>
  <c r="F327" i="3"/>
  <c r="F303" i="3"/>
  <c r="F155" i="3"/>
  <c r="F91" i="3"/>
  <c r="G351" i="3"/>
  <c r="G155" i="3"/>
  <c r="E24" i="3"/>
  <c r="H313" i="3"/>
  <c r="H265" i="3"/>
  <c r="H217" i="3"/>
  <c r="H209" i="3"/>
  <c r="H193" i="3"/>
  <c r="H141" i="3"/>
  <c r="H69" i="3"/>
  <c r="H53" i="3"/>
  <c r="I333" i="3"/>
  <c r="I217" i="3"/>
  <c r="I209" i="3"/>
  <c r="I193" i="3"/>
  <c r="I173" i="3"/>
  <c r="I141" i="3"/>
  <c r="I69" i="3"/>
  <c r="I53" i="3"/>
  <c r="D431" i="3"/>
  <c r="D351" i="3"/>
  <c r="D327" i="3"/>
  <c r="D303" i="3"/>
  <c r="D287" i="3"/>
  <c r="D263" i="3"/>
  <c r="D255" i="3"/>
  <c r="D211" i="3"/>
  <c r="D203" i="3"/>
  <c r="D179" i="3"/>
  <c r="D171" i="3"/>
  <c r="D155" i="3"/>
  <c r="H102" i="3"/>
  <c r="H30" i="3"/>
  <c r="I182" i="3"/>
  <c r="I110" i="3"/>
  <c r="I102" i="3"/>
  <c r="I30" i="3"/>
  <c r="D276" i="3"/>
  <c r="D88" i="3"/>
  <c r="D80" i="3"/>
  <c r="E263" i="3"/>
  <c r="E155" i="3"/>
  <c r="E75" i="3"/>
  <c r="F263" i="3"/>
  <c r="F171" i="3"/>
  <c r="F83" i="3"/>
  <c r="F75" i="3"/>
  <c r="G307" i="3"/>
  <c r="G184" i="3"/>
  <c r="G263" i="3"/>
  <c r="G75" i="3"/>
  <c r="H365" i="3"/>
  <c r="H333" i="3"/>
  <c r="H305" i="3"/>
  <c r="H297" i="3"/>
  <c r="H229" i="3"/>
  <c r="H221" i="3"/>
  <c r="H205" i="3"/>
  <c r="H197" i="3"/>
  <c r="H173" i="3"/>
  <c r="H153" i="3"/>
  <c r="H145" i="3"/>
  <c r="H129" i="3"/>
  <c r="H113" i="3"/>
  <c r="H89" i="3"/>
  <c r="H81" i="3"/>
  <c r="H65" i="3"/>
  <c r="H57" i="3"/>
  <c r="H33" i="3"/>
  <c r="H13" i="3"/>
  <c r="I365" i="3"/>
  <c r="I313" i="3"/>
  <c r="I305" i="3"/>
  <c r="I297" i="3"/>
  <c r="I265" i="3"/>
  <c r="I229" i="3"/>
  <c r="I221" i="3"/>
  <c r="I205" i="3"/>
  <c r="I197" i="3"/>
  <c r="I153" i="3"/>
  <c r="I145" i="3"/>
  <c r="I129" i="3"/>
  <c r="I113" i="3"/>
  <c r="I89" i="3"/>
  <c r="I81" i="3"/>
  <c r="I65" i="3"/>
  <c r="I57" i="3"/>
  <c r="I33" i="3"/>
  <c r="I13" i="3"/>
  <c r="D427" i="3"/>
  <c r="D395" i="3"/>
  <c r="D371" i="3"/>
  <c r="D267" i="3"/>
  <c r="D259" i="3"/>
  <c r="D223" i="3"/>
  <c r="D207" i="3"/>
  <c r="D191" i="3"/>
  <c r="D183" i="3"/>
  <c r="D175" i="3"/>
  <c r="D143" i="3"/>
  <c r="D103" i="3"/>
  <c r="D87" i="3"/>
  <c r="D55" i="3"/>
  <c r="D43" i="3"/>
  <c r="D11" i="3"/>
  <c r="E398" i="3"/>
  <c r="E390" i="3"/>
  <c r="E374" i="3"/>
  <c r="E310" i="3"/>
  <c r="E302" i="3"/>
  <c r="E294" i="3"/>
  <c r="E286" i="3"/>
  <c r="E270" i="3"/>
  <c r="E234" i="3"/>
  <c r="E226" i="3"/>
  <c r="E182" i="3"/>
  <c r="E150" i="3"/>
  <c r="E130" i="3"/>
  <c r="E122" i="3"/>
  <c r="E110" i="3"/>
  <c r="E102" i="3"/>
  <c r="E82" i="3"/>
  <c r="E66" i="3"/>
  <c r="E26" i="3"/>
  <c r="F398" i="3"/>
  <c r="F390" i="3"/>
  <c r="F302" i="3"/>
  <c r="F294" i="3"/>
  <c r="F286" i="3"/>
  <c r="F270" i="3"/>
  <c r="F266" i="3"/>
  <c r="F234" i="3"/>
  <c r="F226" i="3"/>
  <c r="F182" i="3"/>
  <c r="F150" i="3"/>
  <c r="F142" i="3"/>
  <c r="F102" i="3"/>
  <c r="F82" i="3"/>
  <c r="F66" i="3"/>
  <c r="F26" i="3"/>
  <c r="G398" i="3"/>
  <c r="G390" i="3"/>
  <c r="G374" i="3"/>
  <c r="G310" i="3"/>
  <c r="G302" i="3"/>
  <c r="G294" i="3"/>
  <c r="G286" i="3"/>
  <c r="G270" i="3"/>
  <c r="G234" i="3"/>
  <c r="G226" i="3"/>
  <c r="G202" i="3"/>
  <c r="G162" i="3"/>
  <c r="G146" i="3"/>
  <c r="G130" i="3"/>
  <c r="G122" i="3"/>
  <c r="G98" i="3"/>
  <c r="G90" i="3"/>
  <c r="G82" i="3"/>
  <c r="G66" i="3"/>
  <c r="G30" i="3"/>
  <c r="G26" i="3"/>
  <c r="G14" i="3"/>
  <c r="H424" i="3"/>
  <c r="H408" i="3"/>
  <c r="H400" i="3"/>
  <c r="H380" i="3"/>
  <c r="H372" i="3"/>
  <c r="H344" i="3"/>
  <c r="H320" i="3"/>
  <c r="H292" i="3"/>
  <c r="H288" i="3"/>
  <c r="H280" i="3"/>
  <c r="H276" i="3"/>
  <c r="H272" i="3"/>
  <c r="H268" i="3"/>
  <c r="H256" i="3"/>
  <c r="H248" i="3"/>
  <c r="H236" i="3"/>
  <c r="H228" i="3"/>
  <c r="H224" i="3"/>
  <c r="H188" i="3"/>
  <c r="H176" i="3"/>
  <c r="H132" i="3"/>
  <c r="H120" i="3"/>
  <c r="H116" i="3"/>
  <c r="H108" i="3"/>
  <c r="H84" i="3"/>
  <c r="H28" i="3"/>
  <c r="H16" i="3"/>
  <c r="I424" i="3"/>
  <c r="I408" i="3"/>
  <c r="I400" i="3"/>
  <c r="I380" i="3"/>
  <c r="I372" i="3"/>
  <c r="I344" i="3"/>
  <c r="I320" i="3"/>
  <c r="I292" i="3"/>
  <c r="I288" i="3"/>
  <c r="I280" i="3"/>
  <c r="I276" i="3"/>
  <c r="I272" i="3"/>
  <c r="I268" i="3"/>
  <c r="I256" i="3"/>
  <c r="I248" i="3"/>
  <c r="I236" i="3"/>
  <c r="I228" i="3"/>
  <c r="I224" i="3"/>
  <c r="I188" i="3"/>
  <c r="I176" i="3"/>
  <c r="I132" i="3"/>
  <c r="I120" i="3"/>
  <c r="I116" i="3"/>
  <c r="I108" i="3"/>
  <c r="I84" i="3"/>
  <c r="I28" i="3"/>
  <c r="I16" i="3"/>
  <c r="D426" i="3"/>
  <c r="D394" i="3"/>
  <c r="D386" i="3"/>
  <c r="D378" i="3"/>
  <c r="D374" i="3"/>
  <c r="D298" i="3"/>
  <c r="D290" i="3"/>
  <c r="D286" i="3"/>
  <c r="D274" i="3"/>
  <c r="D270" i="3"/>
  <c r="D266" i="3"/>
  <c r="D258" i="3"/>
  <c r="D250" i="3"/>
  <c r="D246" i="3"/>
  <c r="D234" i="3"/>
  <c r="D206" i="3"/>
  <c r="D202" i="3"/>
  <c r="D190" i="3"/>
  <c r="D154" i="3"/>
  <c r="D122" i="3"/>
  <c r="D102" i="3"/>
  <c r="D70" i="3"/>
  <c r="D66" i="3"/>
  <c r="E429" i="3"/>
  <c r="E417" i="3"/>
  <c r="E405" i="3"/>
  <c r="D131" i="3"/>
  <c r="D115" i="3"/>
  <c r="D107" i="3"/>
  <c r="D91" i="3"/>
  <c r="D83" i="3"/>
  <c r="D75" i="3"/>
  <c r="D51" i="3"/>
  <c r="D23" i="3"/>
  <c r="E426" i="3"/>
  <c r="E386" i="3"/>
  <c r="E298" i="3"/>
  <c r="E290" i="3"/>
  <c r="E274" i="3"/>
  <c r="E266" i="3"/>
  <c r="E238" i="3"/>
  <c r="E230" i="3"/>
  <c r="E202" i="3"/>
  <c r="E162" i="3"/>
  <c r="E146" i="3"/>
  <c r="E142" i="3"/>
  <c r="E98" i="3"/>
  <c r="E90" i="3"/>
  <c r="E30" i="3"/>
  <c r="F426" i="3"/>
  <c r="F386" i="3"/>
  <c r="F374" i="3"/>
  <c r="F310" i="3"/>
  <c r="F298" i="3"/>
  <c r="F290" i="3"/>
  <c r="F274" i="3"/>
  <c r="F238" i="3"/>
  <c r="F230" i="3"/>
  <c r="F202" i="3"/>
  <c r="F162" i="3"/>
  <c r="F146" i="3"/>
  <c r="F130" i="3"/>
  <c r="F122" i="3"/>
  <c r="F110" i="3"/>
  <c r="F98" i="3"/>
  <c r="F90" i="3"/>
  <c r="F30" i="3"/>
  <c r="G426" i="3"/>
  <c r="G386" i="3"/>
  <c r="G298" i="3"/>
  <c r="G290" i="3"/>
  <c r="G274" i="3"/>
  <c r="G266" i="3"/>
  <c r="G238" i="3"/>
  <c r="G230" i="3"/>
  <c r="G182" i="3"/>
  <c r="G150" i="3"/>
  <c r="G142" i="3"/>
  <c r="G110" i="3"/>
  <c r="G102" i="3"/>
  <c r="H383" i="3"/>
  <c r="H379" i="3"/>
  <c r="H375" i="3"/>
  <c r="H351" i="3"/>
  <c r="H331" i="3"/>
  <c r="H315" i="3"/>
  <c r="H307" i="3"/>
  <c r="H263" i="3"/>
  <c r="I383" i="3"/>
  <c r="I379" i="3"/>
  <c r="I375" i="3"/>
  <c r="I351" i="3"/>
  <c r="I331" i="3"/>
  <c r="I315" i="3"/>
  <c r="I307" i="3"/>
  <c r="I263" i="3"/>
  <c r="D405" i="3"/>
  <c r="D397" i="3"/>
  <c r="D377" i="3"/>
  <c r="D361" i="3"/>
  <c r="D297" i="3"/>
  <c r="E397" i="3"/>
  <c r="E385" i="3"/>
  <c r="E365" i="3"/>
  <c r="E361" i="3"/>
  <c r="E357" i="3"/>
  <c r="E313" i="3"/>
  <c r="E305" i="3"/>
  <c r="E297" i="3"/>
  <c r="E229" i="3"/>
  <c r="E221" i="3"/>
  <c r="E217" i="3"/>
  <c r="E209" i="3"/>
  <c r="E201" i="3"/>
  <c r="E197" i="3"/>
  <c r="E193" i="3"/>
  <c r="E177" i="3"/>
  <c r="E161" i="3"/>
  <c r="E153" i="3"/>
  <c r="E145" i="3"/>
  <c r="E141" i="3"/>
  <c r="E137" i="3"/>
  <c r="E133" i="3"/>
  <c r="E129" i="3"/>
  <c r="E117" i="3"/>
  <c r="E69" i="3"/>
  <c r="E53" i="3"/>
  <c r="E45" i="3"/>
  <c r="E33" i="3"/>
  <c r="F405" i="3"/>
  <c r="F397" i="3"/>
  <c r="F385" i="3"/>
  <c r="F365" i="3"/>
  <c r="F361" i="3"/>
  <c r="F357" i="3"/>
  <c r="F297" i="3"/>
  <c r="F221" i="3"/>
  <c r="F209" i="3"/>
  <c r="F193" i="3"/>
  <c r="F153" i="3"/>
  <c r="F133" i="3"/>
  <c r="F129" i="3"/>
  <c r="F117" i="3"/>
  <c r="F69" i="3"/>
  <c r="F53" i="3"/>
  <c r="F45" i="3"/>
  <c r="F37" i="3"/>
  <c r="G429" i="3"/>
  <c r="G417" i="3"/>
  <c r="G405" i="3"/>
  <c r="G397" i="3"/>
  <c r="G385" i="3"/>
  <c r="G365" i="3"/>
  <c r="G361" i="3"/>
  <c r="G357" i="3"/>
  <c r="G313" i="3"/>
  <c r="G305" i="3"/>
  <c r="G297" i="3"/>
  <c r="G229" i="3"/>
  <c r="G221" i="3"/>
  <c r="G217" i="3"/>
  <c r="G209" i="3"/>
  <c r="G201" i="3"/>
  <c r="G197" i="3"/>
  <c r="G193" i="3"/>
  <c r="G177" i="3"/>
  <c r="G161" i="3"/>
  <c r="G153" i="3"/>
  <c r="G149" i="3"/>
  <c r="G145" i="3"/>
  <c r="G141" i="3"/>
  <c r="G137" i="3"/>
  <c r="G133" i="3"/>
  <c r="G129" i="3"/>
  <c r="G117" i="3"/>
  <c r="G109" i="3"/>
  <c r="G89" i="3"/>
  <c r="G77" i="3"/>
  <c r="G69" i="3"/>
  <c r="G53" i="3"/>
  <c r="G45" i="3"/>
  <c r="G41" i="3"/>
  <c r="G37" i="3"/>
  <c r="G33" i="3"/>
  <c r="G9" i="3"/>
  <c r="G5" i="3"/>
  <c r="D221" i="3"/>
  <c r="D209" i="3"/>
  <c r="D181" i="3"/>
  <c r="D69" i="3"/>
  <c r="E392" i="3"/>
  <c r="E380" i="3"/>
  <c r="E372" i="3"/>
  <c r="E328" i="3"/>
  <c r="E320" i="3"/>
  <c r="E288" i="3"/>
  <c r="E276" i="3"/>
  <c r="E268" i="3"/>
  <c r="E256" i="3"/>
  <c r="E248" i="3"/>
  <c r="E228" i="3"/>
  <c r="E188" i="3"/>
  <c r="E176" i="3"/>
  <c r="F392" i="3"/>
  <c r="F380" i="3"/>
  <c r="F372" i="3"/>
  <c r="F320" i="3"/>
  <c r="F288" i="3"/>
  <c r="F276" i="3"/>
  <c r="F268" i="3"/>
  <c r="F256" i="3"/>
  <c r="F248" i="3"/>
  <c r="F228" i="3"/>
  <c r="F188" i="3"/>
  <c r="F176" i="3"/>
  <c r="F156" i="3"/>
  <c r="F120" i="3"/>
  <c r="G424" i="3"/>
  <c r="G400" i="3"/>
  <c r="G392" i="3"/>
  <c r="G380" i="3"/>
  <c r="G372" i="3"/>
  <c r="G348" i="3"/>
  <c r="G340" i="3"/>
  <c r="G320" i="3"/>
  <c r="G288" i="3"/>
  <c r="G284" i="3"/>
  <c r="G280" i="3"/>
  <c r="G276" i="3"/>
  <c r="G272" i="3"/>
  <c r="G268" i="3"/>
  <c r="G256" i="3"/>
  <c r="G248" i="3"/>
  <c r="G236" i="3"/>
  <c r="G228" i="3"/>
  <c r="G188" i="3"/>
  <c r="G176" i="3"/>
  <c r="G156" i="3"/>
  <c r="G148" i="3"/>
  <c r="G120" i="3"/>
  <c r="G108" i="3"/>
  <c r="G84" i="3"/>
  <c r="G28" i="3"/>
  <c r="G12" i="3"/>
  <c r="H349" i="3"/>
  <c r="H341" i="3"/>
  <c r="H309" i="3"/>
  <c r="H185" i="3"/>
  <c r="H157" i="3"/>
  <c r="H121" i="3"/>
  <c r="H61" i="3"/>
  <c r="H21" i="3"/>
  <c r="I321" i="3"/>
  <c r="I185" i="3"/>
  <c r="I157" i="3"/>
  <c r="I121" i="3"/>
  <c r="I97" i="3"/>
  <c r="I73" i="3"/>
  <c r="I61" i="3"/>
  <c r="I21" i="3"/>
  <c r="D151" i="3"/>
  <c r="D135" i="3"/>
  <c r="D123" i="3"/>
  <c r="D99" i="3"/>
  <c r="D95" i="3"/>
  <c r="D383" i="3"/>
  <c r="H321" i="3"/>
  <c r="H101" i="3"/>
  <c r="H97" i="3"/>
  <c r="H73" i="3"/>
  <c r="H25" i="3"/>
  <c r="H17" i="3"/>
  <c r="I349" i="3"/>
  <c r="I341" i="3"/>
  <c r="I309" i="3"/>
  <c r="I101" i="3"/>
  <c r="I25" i="3"/>
  <c r="I17" i="3"/>
  <c r="D291" i="3"/>
  <c r="D219" i="3"/>
  <c r="D163" i="3"/>
  <c r="D139" i="3"/>
  <c r="D111" i="3"/>
  <c r="D79" i="3"/>
  <c r="D67" i="3"/>
  <c r="E382" i="3"/>
  <c r="E106" i="3"/>
  <c r="E94" i="3"/>
  <c r="E86" i="3"/>
  <c r="E54" i="3"/>
  <c r="E46" i="3"/>
  <c r="E14" i="3"/>
  <c r="F382" i="3"/>
  <c r="F362" i="3"/>
  <c r="F242" i="3"/>
  <c r="F218" i="3"/>
  <c r="E196" i="3"/>
  <c r="H426" i="3"/>
  <c r="H418" i="3"/>
  <c r="H414" i="3"/>
  <c r="H386" i="3"/>
  <c r="H382" i="3"/>
  <c r="H378" i="3"/>
  <c r="H374" i="3"/>
  <c r="H370" i="3"/>
  <c r="H366" i="3"/>
  <c r="H362" i="3"/>
  <c r="H338" i="3"/>
  <c r="H334" i="3"/>
  <c r="H290" i="3"/>
  <c r="H286" i="3"/>
  <c r="H278" i="3"/>
  <c r="H270" i="3"/>
  <c r="H266" i="3"/>
  <c r="H250" i="3"/>
  <c r="H242" i="3"/>
  <c r="H234" i="3"/>
  <c r="H218" i="3"/>
  <c r="H214" i="3"/>
  <c r="H206" i="3"/>
  <c r="H198" i="3"/>
  <c r="H194" i="3"/>
  <c r="H186" i="3"/>
  <c r="H170" i="3"/>
  <c r="H158" i="3"/>
  <c r="H154" i="3"/>
  <c r="H126" i="3"/>
  <c r="H122" i="3"/>
  <c r="H118" i="3"/>
  <c r="H114" i="3"/>
  <c r="H106" i="3"/>
  <c r="H94" i="3"/>
  <c r="H86" i="3"/>
  <c r="H74" i="3"/>
  <c r="H66" i="3"/>
  <c r="H54" i="3"/>
  <c r="H46" i="3"/>
  <c r="H34" i="3"/>
  <c r="H22" i="3"/>
  <c r="H14" i="3"/>
  <c r="H6" i="3"/>
  <c r="I426" i="3"/>
  <c r="I418" i="3"/>
  <c r="I414" i="3"/>
  <c r="I386" i="3"/>
  <c r="I382" i="3"/>
  <c r="I378" i="3"/>
  <c r="I374" i="3"/>
  <c r="I370" i="3"/>
  <c r="I366" i="3"/>
  <c r="I362" i="3"/>
  <c r="I338" i="3"/>
  <c r="I334" i="3"/>
  <c r="I290" i="3"/>
  <c r="I286" i="3"/>
  <c r="I278" i="3"/>
  <c r="I270" i="3"/>
  <c r="I266" i="3"/>
  <c r="I250" i="3"/>
  <c r="I242" i="3"/>
  <c r="I234" i="3"/>
  <c r="I218" i="3"/>
  <c r="I214" i="3"/>
  <c r="I206" i="3"/>
  <c r="I198" i="3"/>
  <c r="I194" i="3"/>
  <c r="I186" i="3"/>
  <c r="I170" i="3"/>
  <c r="I158" i="3"/>
  <c r="I154" i="3"/>
  <c r="I126" i="3"/>
  <c r="I122" i="3"/>
  <c r="I118" i="3"/>
  <c r="I114" i="3"/>
  <c r="I106" i="3"/>
  <c r="I94" i="3"/>
  <c r="I86" i="3"/>
  <c r="I74" i="3"/>
  <c r="I66" i="3"/>
  <c r="I54" i="3"/>
  <c r="I46" i="3"/>
  <c r="I34" i="3"/>
  <c r="I22" i="3"/>
  <c r="I14" i="3"/>
  <c r="I6" i="3"/>
  <c r="D424" i="3"/>
  <c r="D400" i="3"/>
  <c r="D396" i="3"/>
  <c r="D356" i="3"/>
  <c r="D348" i="3"/>
  <c r="D344" i="3"/>
  <c r="D340" i="3"/>
  <c r="D324" i="3"/>
  <c r="D292" i="3"/>
  <c r="D284" i="3"/>
  <c r="D280" i="3"/>
  <c r="D272" i="3"/>
  <c r="D264" i="3"/>
  <c r="D252" i="3"/>
  <c r="D244" i="3"/>
  <c r="D240" i="3"/>
  <c r="D236" i="3"/>
  <c r="D224" i="3"/>
  <c r="D156" i="3"/>
  <c r="D152" i="3"/>
  <c r="D148" i="3"/>
  <c r="D140" i="3"/>
  <c r="D132" i="3"/>
  <c r="D124" i="3"/>
  <c r="D120" i="3"/>
  <c r="D108" i="3"/>
  <c r="D104" i="3"/>
  <c r="D71" i="3"/>
  <c r="D47" i="3"/>
  <c r="D39" i="3"/>
  <c r="D31" i="3"/>
  <c r="E362" i="3"/>
  <c r="E242" i="3"/>
  <c r="E218" i="3"/>
  <c r="E186" i="3"/>
  <c r="E170" i="3"/>
  <c r="E126" i="3"/>
  <c r="E118" i="3"/>
  <c r="E74" i="3"/>
  <c r="E34" i="3"/>
  <c r="F186" i="3"/>
  <c r="F170" i="3"/>
  <c r="F126" i="3"/>
  <c r="F118" i="3"/>
  <c r="F106" i="3"/>
  <c r="F94" i="3"/>
  <c r="F86" i="3"/>
  <c r="F74" i="3"/>
  <c r="F54" i="3"/>
  <c r="F46" i="3"/>
  <c r="F34" i="3"/>
  <c r="F14" i="3"/>
  <c r="G382" i="3"/>
  <c r="G362" i="3"/>
  <c r="G242" i="3"/>
  <c r="G218" i="3"/>
  <c r="G186" i="3"/>
  <c r="G170" i="3"/>
  <c r="G126" i="3"/>
  <c r="G118" i="3"/>
  <c r="G106" i="3"/>
  <c r="G94" i="3"/>
  <c r="G86" i="3"/>
  <c r="G74" i="3"/>
  <c r="G54" i="3"/>
  <c r="G46" i="3"/>
  <c r="G34" i="3"/>
  <c r="H428" i="3"/>
  <c r="H420" i="3"/>
  <c r="H412" i="3"/>
  <c r="H404" i="3"/>
  <c r="H396" i="3"/>
  <c r="H388" i="3"/>
  <c r="H384" i="3"/>
  <c r="H376" i="3"/>
  <c r="H368" i="3"/>
  <c r="H364" i="3"/>
  <c r="H360" i="3"/>
  <c r="H336" i="3"/>
  <c r="H332" i="3"/>
  <c r="H328" i="3"/>
  <c r="H324" i="3"/>
  <c r="H316" i="3"/>
  <c r="H312" i="3"/>
  <c r="H308" i="3"/>
  <c r="H304" i="3"/>
  <c r="H300" i="3"/>
  <c r="H296" i="3"/>
  <c r="H264" i="3"/>
  <c r="H260" i="3"/>
  <c r="H252" i="3"/>
  <c r="H244" i="3"/>
  <c r="H232" i="3"/>
  <c r="H220" i="3"/>
  <c r="H216" i="3"/>
  <c r="H208" i="3"/>
  <c r="H204" i="3"/>
  <c r="H200" i="3"/>
  <c r="H196" i="3"/>
  <c r="H192" i="3"/>
  <c r="H184" i="3"/>
  <c r="H180" i="3"/>
  <c r="H172" i="3"/>
  <c r="H168" i="3"/>
  <c r="H164" i="3"/>
  <c r="H160" i="3"/>
  <c r="H152" i="3"/>
  <c r="H144" i="3"/>
  <c r="H140" i="3"/>
  <c r="H136" i="3"/>
  <c r="H128" i="3"/>
  <c r="H124" i="3"/>
  <c r="H112" i="3"/>
  <c r="H104" i="3"/>
  <c r="H100" i="3"/>
  <c r="H96" i="3"/>
  <c r="H92" i="3"/>
  <c r="H88" i="3"/>
  <c r="H80" i="3"/>
  <c r="H76" i="3"/>
  <c r="H72" i="3"/>
  <c r="H68" i="3"/>
  <c r="H64" i="3"/>
  <c r="H60" i="3"/>
  <c r="H56" i="3"/>
  <c r="H48" i="3"/>
  <c r="H44" i="3"/>
  <c r="H40" i="3"/>
  <c r="H32" i="3"/>
  <c r="H24" i="3"/>
  <c r="H20" i="3"/>
  <c r="H4" i="3"/>
  <c r="I428" i="3"/>
  <c r="I420" i="3"/>
  <c r="I412" i="3"/>
  <c r="I404" i="3"/>
  <c r="I396" i="3"/>
  <c r="I388" i="3"/>
  <c r="I384" i="3"/>
  <c r="I376" i="3"/>
  <c r="I368" i="3"/>
  <c r="I364" i="3"/>
  <c r="I360" i="3"/>
  <c r="I336" i="3"/>
  <c r="I332" i="3"/>
  <c r="I328" i="3"/>
  <c r="I324" i="3"/>
  <c r="I316" i="3"/>
  <c r="I312" i="3"/>
  <c r="I308" i="3"/>
  <c r="I304" i="3"/>
  <c r="I300" i="3"/>
  <c r="I296" i="3"/>
  <c r="I264" i="3"/>
  <c r="I260" i="3"/>
  <c r="I252" i="3"/>
  <c r="I244" i="3"/>
  <c r="I232" i="3"/>
  <c r="I220" i="3"/>
  <c r="I216" i="3"/>
  <c r="I208" i="3"/>
  <c r="I204" i="3"/>
  <c r="I200" i="3"/>
  <c r="I196" i="3"/>
  <c r="I192" i="3"/>
  <c r="I184" i="3"/>
  <c r="I180" i="3"/>
  <c r="I172" i="3"/>
  <c r="I168" i="3"/>
  <c r="I164" i="3"/>
  <c r="I160" i="3"/>
  <c r="I152" i="3"/>
  <c r="I144" i="3"/>
  <c r="I140" i="3"/>
  <c r="I136" i="3"/>
  <c r="I128" i="3"/>
  <c r="I124" i="3"/>
  <c r="I112" i="3"/>
  <c r="I104" i="3"/>
  <c r="I96" i="3"/>
  <c r="I92" i="3"/>
  <c r="I88" i="3"/>
  <c r="I80" i="3"/>
  <c r="I76" i="3"/>
  <c r="I72" i="3"/>
  <c r="I68" i="3"/>
  <c r="I64" i="3"/>
  <c r="I60" i="3"/>
  <c r="I56" i="3"/>
  <c r="I48" i="3"/>
  <c r="I44" i="3"/>
  <c r="I40" i="3"/>
  <c r="I32" i="3"/>
  <c r="I24" i="3"/>
  <c r="I20" i="3"/>
  <c r="I4" i="3"/>
  <c r="D430" i="3"/>
  <c r="D410" i="3"/>
  <c r="D406" i="3"/>
  <c r="D402" i="3"/>
  <c r="D398" i="3"/>
  <c r="D390" i="3"/>
  <c r="D382" i="3"/>
  <c r="D362" i="3"/>
  <c r="D358" i="3"/>
  <c r="D350" i="3"/>
  <c r="D342" i="3"/>
  <c r="D330" i="3"/>
  <c r="D310" i="3"/>
  <c r="D306" i="3"/>
  <c r="D302" i="3"/>
  <c r="D294" i="3"/>
  <c r="D282" i="3"/>
  <c r="D262" i="3"/>
  <c r="D254" i="3"/>
  <c r="D242" i="3"/>
  <c r="D238" i="3"/>
  <c r="D230" i="3"/>
  <c r="D226" i="3"/>
  <c r="D222" i="3"/>
  <c r="D218" i="3"/>
  <c r="D186" i="3"/>
  <c r="D182" i="3"/>
  <c r="D178" i="3"/>
  <c r="D174" i="3"/>
  <c r="D170" i="3"/>
  <c r="D166" i="3"/>
  <c r="D162" i="3"/>
  <c r="D150" i="3"/>
  <c r="D146" i="3"/>
  <c r="D142" i="3"/>
  <c r="D138" i="3"/>
  <c r="D134" i="3"/>
  <c r="D130" i="3"/>
  <c r="D126" i="3"/>
  <c r="D118" i="3"/>
  <c r="D110" i="3"/>
  <c r="D106" i="3"/>
  <c r="D98" i="3"/>
  <c r="D94" i="3"/>
  <c r="D90" i="3"/>
  <c r="D86" i="3"/>
  <c r="D82" i="3"/>
  <c r="D78" i="3"/>
  <c r="D74" i="3"/>
  <c r="D62" i="3"/>
  <c r="D58" i="3"/>
  <c r="D54" i="3"/>
  <c r="D50" i="3"/>
  <c r="D46" i="3"/>
  <c r="D42" i="3"/>
  <c r="D34" i="3"/>
  <c r="D30" i="3"/>
  <c r="D26" i="3"/>
  <c r="D18" i="3"/>
  <c r="D14" i="3"/>
  <c r="D10" i="3"/>
  <c r="E401" i="3"/>
  <c r="E373" i="3"/>
  <c r="E349" i="3"/>
  <c r="E345" i="3"/>
  <c r="E341" i="3"/>
  <c r="E337" i="3"/>
  <c r="E333" i="3"/>
  <c r="E325" i="3"/>
  <c r="E321" i="3"/>
  <c r="E317" i="3"/>
  <c r="E309" i="3"/>
  <c r="E285" i="3"/>
  <c r="E277" i="3"/>
  <c r="E269" i="3"/>
  <c r="E265" i="3"/>
  <c r="E261" i="3"/>
  <c r="E249" i="3"/>
  <c r="E245" i="3"/>
  <c r="E233" i="3"/>
  <c r="E225" i="3"/>
  <c r="E205" i="3"/>
  <c r="E185" i="3"/>
  <c r="E173" i="3"/>
  <c r="E157" i="3"/>
  <c r="E125" i="3"/>
  <c r="E121" i="3"/>
  <c r="E113" i="3"/>
  <c r="H431" i="3"/>
  <c r="H427" i="3"/>
  <c r="H423" i="3"/>
  <c r="H419" i="3"/>
  <c r="H415" i="3"/>
  <c r="H411" i="3"/>
  <c r="H407" i="3"/>
  <c r="H403" i="3"/>
  <c r="H395" i="3"/>
  <c r="H391" i="3"/>
  <c r="H387" i="3"/>
  <c r="H371" i="3"/>
  <c r="H367" i="3"/>
  <c r="H363" i="3"/>
  <c r="H359" i="3"/>
  <c r="H355" i="3"/>
  <c r="H347" i="3"/>
  <c r="H343" i="3"/>
  <c r="H339" i="3"/>
  <c r="H335" i="3"/>
  <c r="H327" i="3"/>
  <c r="H323" i="3"/>
  <c r="H319" i="3"/>
  <c r="H311" i="3"/>
  <c r="H303" i="3"/>
  <c r="H299" i="3"/>
  <c r="H295" i="3"/>
  <c r="H291" i="3"/>
  <c r="H287" i="3"/>
  <c r="H283" i="3"/>
  <c r="H279" i="3"/>
  <c r="H275" i="3"/>
  <c r="H271" i="3"/>
  <c r="H267" i="3"/>
  <c r="H259" i="3"/>
  <c r="H255" i="3"/>
  <c r="H251" i="3"/>
  <c r="H247" i="3"/>
  <c r="H243" i="3"/>
  <c r="H239" i="3"/>
  <c r="H235" i="3"/>
  <c r="H231" i="3"/>
  <c r="H227" i="3"/>
  <c r="H223" i="3"/>
  <c r="H219" i="3"/>
  <c r="H215" i="3"/>
  <c r="H211" i="3"/>
  <c r="H207" i="3"/>
  <c r="H203" i="3"/>
  <c r="H199" i="3"/>
  <c r="H195" i="3"/>
  <c r="H191" i="3"/>
  <c r="H187" i="3"/>
  <c r="H183" i="3"/>
  <c r="H179" i="3"/>
  <c r="H175" i="3"/>
  <c r="H171" i="3"/>
  <c r="H167" i="3"/>
  <c r="H163" i="3"/>
  <c r="H159" i="3"/>
  <c r="H155" i="3"/>
  <c r="H151" i="3"/>
  <c r="H147" i="3"/>
  <c r="H143" i="3"/>
  <c r="H139" i="3"/>
  <c r="H135" i="3"/>
  <c r="H131" i="3"/>
  <c r="H127" i="3"/>
  <c r="H123" i="3"/>
  <c r="H119" i="3"/>
  <c r="H115" i="3"/>
  <c r="H111" i="3"/>
  <c r="H107" i="3"/>
  <c r="H103" i="3"/>
  <c r="H99" i="3"/>
  <c r="H95" i="3"/>
  <c r="H91" i="3"/>
  <c r="H87" i="3"/>
  <c r="H83" i="3"/>
  <c r="H79" i="3"/>
  <c r="H75" i="3"/>
  <c r="H71" i="3"/>
  <c r="H67" i="3"/>
  <c r="H63" i="3"/>
  <c r="H59" i="3"/>
  <c r="H55" i="3"/>
  <c r="H51" i="3"/>
  <c r="H47" i="3"/>
  <c r="H43" i="3"/>
  <c r="H39" i="3"/>
  <c r="H35" i="3"/>
  <c r="H31" i="3"/>
  <c r="H27" i="3"/>
  <c r="H23" i="3"/>
  <c r="H19" i="3"/>
  <c r="H15" i="3"/>
  <c r="H11" i="3"/>
  <c r="H7" i="3"/>
  <c r="I431" i="3"/>
  <c r="I427" i="3"/>
  <c r="I423" i="3"/>
  <c r="I419" i="3"/>
  <c r="I415" i="3"/>
  <c r="I411" i="3"/>
  <c r="I407" i="3"/>
  <c r="I403" i="3"/>
  <c r="I395" i="3"/>
  <c r="I391" i="3"/>
  <c r="I387" i="3"/>
  <c r="I371" i="3"/>
  <c r="I367" i="3"/>
  <c r="I363" i="3"/>
  <c r="I359" i="3"/>
  <c r="I355" i="3"/>
  <c r="I347" i="3"/>
  <c r="I343" i="3"/>
  <c r="I339" i="3"/>
  <c r="I335" i="3"/>
  <c r="I327" i="3"/>
  <c r="I323" i="3"/>
  <c r="I319" i="3"/>
  <c r="I311" i="3"/>
  <c r="I303" i="3"/>
  <c r="I299" i="3"/>
  <c r="I295" i="3"/>
  <c r="I291" i="3"/>
  <c r="I287" i="3"/>
  <c r="I283" i="3"/>
  <c r="I279" i="3"/>
  <c r="I275" i="3"/>
  <c r="I271" i="3"/>
  <c r="I267" i="3"/>
  <c r="I259" i="3"/>
  <c r="I255" i="3"/>
  <c r="I251" i="3"/>
  <c r="I247" i="3"/>
  <c r="I243" i="3"/>
  <c r="I239" i="3"/>
  <c r="I235" i="3"/>
  <c r="I231" i="3"/>
  <c r="I227" i="3"/>
  <c r="I223" i="3"/>
  <c r="I219" i="3"/>
  <c r="I215" i="3"/>
  <c r="I211" i="3"/>
  <c r="I207" i="3"/>
  <c r="I203" i="3"/>
  <c r="I199" i="3"/>
  <c r="I195" i="3"/>
  <c r="I191" i="3"/>
  <c r="I187" i="3"/>
  <c r="I183" i="3"/>
  <c r="I179" i="3"/>
  <c r="I175" i="3"/>
  <c r="I171" i="3"/>
  <c r="I167" i="3"/>
  <c r="I163" i="3"/>
  <c r="I159" i="3"/>
  <c r="I155" i="3"/>
  <c r="I151" i="3"/>
  <c r="I147" i="3"/>
  <c r="I143" i="3"/>
  <c r="I139" i="3"/>
  <c r="I135" i="3"/>
  <c r="I131" i="3"/>
  <c r="I127" i="3"/>
  <c r="I123" i="3"/>
  <c r="I119" i="3"/>
  <c r="I115" i="3"/>
  <c r="I111" i="3"/>
  <c r="I107" i="3"/>
  <c r="I103" i="3"/>
  <c r="I99" i="3"/>
  <c r="I95" i="3"/>
  <c r="I91" i="3"/>
  <c r="I87" i="3"/>
  <c r="I83" i="3"/>
  <c r="I79" i="3"/>
  <c r="I75" i="3"/>
  <c r="I71" i="3"/>
  <c r="I67" i="3"/>
  <c r="I63" i="3"/>
  <c r="I59" i="3"/>
  <c r="I55" i="3"/>
  <c r="I51" i="3"/>
  <c r="I47" i="3"/>
  <c r="I43" i="3"/>
  <c r="I39" i="3"/>
  <c r="I35" i="3"/>
  <c r="I31" i="3"/>
  <c r="I27" i="3"/>
  <c r="I23" i="3"/>
  <c r="I19" i="3"/>
  <c r="I15" i="3"/>
  <c r="I11" i="3"/>
  <c r="I7" i="3"/>
  <c r="D84" i="3"/>
  <c r="D72" i="3"/>
  <c r="D68" i="3"/>
  <c r="D64" i="3"/>
  <c r="D60" i="3"/>
  <c r="D56" i="3"/>
  <c r="D48" i="3"/>
  <c r="D32" i="3"/>
  <c r="D28" i="3"/>
  <c r="D24" i="3"/>
  <c r="D16" i="3"/>
  <c r="D12" i="3"/>
  <c r="D8" i="3"/>
  <c r="E423" i="3"/>
  <c r="E419" i="3"/>
  <c r="E415" i="3"/>
  <c r="E411" i="3"/>
  <c r="E391" i="3"/>
  <c r="E387" i="3"/>
  <c r="E355" i="3"/>
  <c r="E339" i="3"/>
  <c r="E335" i="3"/>
  <c r="E327" i="3"/>
  <c r="E323" i="3"/>
  <c r="E303" i="3"/>
  <c r="E299" i="3"/>
  <c r="E295" i="3"/>
  <c r="E291" i="3"/>
  <c r="E287" i="3"/>
  <c r="E283" i="3"/>
  <c r="E279" i="3"/>
  <c r="E267" i="3"/>
  <c r="E255" i="3"/>
  <c r="E251" i="3"/>
  <c r="E243" i="3"/>
  <c r="E239" i="3"/>
  <c r="E235" i="3"/>
  <c r="E231" i="3"/>
  <c r="E223" i="3"/>
  <c r="E219" i="3"/>
  <c r="E211" i="3"/>
  <c r="E203" i="3"/>
  <c r="E187" i="3"/>
  <c r="E183" i="3"/>
  <c r="E175" i="3"/>
  <c r="E171" i="3"/>
  <c r="E167" i="3"/>
  <c r="E163" i="3"/>
  <c r="E159" i="3"/>
  <c r="E151" i="3"/>
  <c r="E143" i="3"/>
  <c r="E139" i="3"/>
  <c r="E135" i="3"/>
  <c r="E131" i="3"/>
  <c r="E127" i="3"/>
  <c r="E123" i="3"/>
  <c r="E115" i="3"/>
  <c r="E111" i="3"/>
  <c r="E107" i="3"/>
  <c r="E99" i="3"/>
  <c r="E95" i="3"/>
  <c r="E79" i="3"/>
  <c r="E71" i="3"/>
  <c r="E67" i="3"/>
  <c r="E63" i="3"/>
  <c r="E55" i="3"/>
  <c r="E47" i="3"/>
  <c r="E39" i="3"/>
  <c r="E35" i="3"/>
  <c r="E31" i="3"/>
  <c r="E27" i="3"/>
  <c r="E23" i="3"/>
  <c r="E19" i="3"/>
  <c r="E15" i="3"/>
  <c r="E7" i="3"/>
  <c r="F411" i="3"/>
  <c r="F355" i="3"/>
  <c r="F339" i="3"/>
  <c r="F335" i="3"/>
  <c r="F323" i="3"/>
  <c r="F299" i="3"/>
  <c r="F295" i="3"/>
  <c r="F291" i="3"/>
  <c r="F283" i="3"/>
  <c r="F279" i="3"/>
  <c r="F267" i="3"/>
  <c r="F243" i="3"/>
  <c r="F235" i="3"/>
  <c r="F223" i="3"/>
  <c r="F219" i="3"/>
  <c r="F211" i="3"/>
  <c r="F175" i="3"/>
  <c r="F163" i="3"/>
  <c r="F151" i="3"/>
  <c r="F143" i="3"/>
  <c r="F139" i="3"/>
  <c r="F135" i="3"/>
  <c r="F131" i="3"/>
  <c r="F111" i="3"/>
  <c r="F107" i="3"/>
  <c r="F99" i="3"/>
  <c r="F95" i="3"/>
  <c r="F79" i="3"/>
  <c r="F71" i="3"/>
  <c r="F67" i="3"/>
  <c r="F55" i="3"/>
  <c r="F47" i="3"/>
  <c r="F39" i="3"/>
  <c r="F35" i="3"/>
  <c r="F31" i="3"/>
  <c r="F27" i="3"/>
  <c r="F23" i="3"/>
  <c r="D429" i="3"/>
  <c r="D425" i="3"/>
  <c r="D421" i="3"/>
  <c r="D417" i="3"/>
  <c r="D409" i="3"/>
  <c r="D401" i="3"/>
  <c r="D393" i="3"/>
  <c r="D389" i="3"/>
  <c r="D385" i="3"/>
  <c r="D373" i="3"/>
  <c r="D369" i="3"/>
  <c r="D365" i="3"/>
  <c r="D357" i="3"/>
  <c r="D353" i="3"/>
  <c r="D349" i="3"/>
  <c r="D345" i="3"/>
  <c r="D341" i="3"/>
  <c r="D337" i="3"/>
  <c r="D333" i="3"/>
  <c r="D329" i="3"/>
  <c r="D325" i="3"/>
  <c r="D321" i="3"/>
  <c r="D317" i="3"/>
  <c r="D313" i="3"/>
  <c r="D309" i="3"/>
  <c r="D305" i="3"/>
  <c r="D301" i="3"/>
  <c r="D293" i="3"/>
  <c r="D289" i="3"/>
  <c r="D285" i="3"/>
  <c r="D277" i="3"/>
  <c r="D273" i="3"/>
  <c r="D269" i="3"/>
  <c r="D265" i="3"/>
  <c r="D261" i="3"/>
  <c r="D257" i="3"/>
  <c r="D253" i="3"/>
  <c r="D249" i="3"/>
  <c r="D245" i="3"/>
  <c r="D241" i="3"/>
  <c r="D233" i="3"/>
  <c r="D229" i="3"/>
  <c r="D225" i="3"/>
  <c r="D217" i="3"/>
  <c r="D213" i="3"/>
  <c r="D205" i="3"/>
  <c r="D201" i="3"/>
  <c r="D197" i="3"/>
  <c r="D193" i="3"/>
  <c r="D189" i="3"/>
  <c r="D185" i="3"/>
  <c r="D177" i="3"/>
  <c r="D173" i="3"/>
  <c r="D169" i="3"/>
  <c r="D161" i="3"/>
  <c r="D157" i="3"/>
  <c r="D153" i="3"/>
  <c r="D149" i="3"/>
  <c r="D145" i="3"/>
  <c r="D141" i="3"/>
  <c r="D137" i="3"/>
  <c r="D133" i="3"/>
  <c r="D129" i="3"/>
  <c r="D125" i="3"/>
  <c r="D121" i="3"/>
  <c r="D117" i="3"/>
  <c r="D113" i="3"/>
  <c r="D109" i="3"/>
  <c r="D105" i="3"/>
  <c r="D101" i="3"/>
  <c r="D97" i="3"/>
  <c r="D93" i="3"/>
  <c r="D89" i="3"/>
  <c r="D85" i="3"/>
  <c r="D81" i="3"/>
  <c r="D77" i="3"/>
  <c r="D73" i="3"/>
  <c r="D65" i="3"/>
  <c r="D61" i="3"/>
  <c r="D57" i="3"/>
  <c r="D53" i="3"/>
  <c r="D49" i="3"/>
  <c r="D45" i="3"/>
  <c r="D41" i="3"/>
  <c r="D37" i="3"/>
  <c r="D33" i="3"/>
  <c r="D29" i="3"/>
  <c r="D25" i="3"/>
  <c r="D21" i="3"/>
  <c r="D17" i="3"/>
  <c r="D13" i="3"/>
  <c r="D9" i="3"/>
  <c r="D5" i="3"/>
  <c r="E428" i="3"/>
  <c r="E424" i="3"/>
  <c r="E412" i="3"/>
  <c r="E404" i="3"/>
  <c r="E400" i="3"/>
  <c r="E396" i="3"/>
  <c r="E388" i="3"/>
  <c r="E384" i="3"/>
  <c r="E376" i="3"/>
  <c r="E368" i="3"/>
  <c r="E360" i="3"/>
  <c r="E356" i="3"/>
  <c r="E348" i="3"/>
  <c r="E109" i="3"/>
  <c r="E105" i="3"/>
  <c r="E101" i="3"/>
  <c r="E97" i="3"/>
  <c r="E93" i="3"/>
  <c r="E89" i="3"/>
  <c r="E85" i="3"/>
  <c r="E81" i="3"/>
  <c r="E77" i="3"/>
  <c r="E73" i="3"/>
  <c r="E65" i="3"/>
  <c r="E61" i="3"/>
  <c r="E57" i="3"/>
  <c r="E49" i="3"/>
  <c r="E41" i="3"/>
  <c r="E29" i="3"/>
  <c r="E25" i="3"/>
  <c r="E21" i="3"/>
  <c r="E17" i="3"/>
  <c r="E13" i="3"/>
  <c r="E9" i="3"/>
  <c r="F429" i="3"/>
  <c r="F425" i="3"/>
  <c r="F417" i="3"/>
  <c r="F409" i="3"/>
  <c r="F401" i="3"/>
  <c r="F393" i="3"/>
  <c r="F373" i="3"/>
  <c r="F353" i="3"/>
  <c r="F349" i="3"/>
  <c r="F345" i="3"/>
  <c r="F341" i="3"/>
  <c r="F337" i="3"/>
  <c r="F333" i="3"/>
  <c r="F329" i="3"/>
  <c r="F325" i="3"/>
  <c r="F321" i="3"/>
  <c r="F317" i="3"/>
  <c r="F313" i="3"/>
  <c r="F309" i="3"/>
  <c r="F305" i="3"/>
  <c r="F301" i="3"/>
  <c r="F293" i="3"/>
  <c r="F285" i="3"/>
  <c r="F277" i="3"/>
  <c r="F269" i="3"/>
  <c r="F265" i="3"/>
  <c r="F261" i="3"/>
  <c r="F253" i="3"/>
  <c r="F249" i="3"/>
  <c r="F245" i="3"/>
  <c r="F241" i="3"/>
  <c r="F233" i="3"/>
  <c r="F229" i="3"/>
  <c r="F225" i="3"/>
  <c r="F217" i="3"/>
  <c r="F205" i="3"/>
  <c r="F201" i="3"/>
  <c r="F197" i="3"/>
  <c r="F185" i="3"/>
  <c r="F177" i="3"/>
  <c r="F173" i="3"/>
  <c r="F161" i="3"/>
  <c r="F157" i="3"/>
  <c r="F149" i="3"/>
  <c r="F145" i="3"/>
  <c r="F141" i="3"/>
  <c r="F137" i="3"/>
  <c r="F125" i="3"/>
  <c r="F121" i="3"/>
  <c r="F113" i="3"/>
  <c r="F109" i="3"/>
  <c r="F105" i="3"/>
  <c r="F101" i="3"/>
  <c r="F97" i="3"/>
  <c r="F93" i="3"/>
  <c r="F89" i="3"/>
  <c r="F85" i="3"/>
  <c r="F81" i="3"/>
  <c r="F77" i="3"/>
  <c r="F73" i="3"/>
  <c r="F65" i="3"/>
  <c r="F61" i="3"/>
  <c r="F57" i="3"/>
  <c r="F49" i="3"/>
  <c r="E344" i="3"/>
  <c r="E340" i="3"/>
  <c r="E336" i="3"/>
  <c r="E332" i="3"/>
  <c r="E324" i="3"/>
  <c r="E316" i="3"/>
  <c r="E312" i="3"/>
  <c r="E308" i="3"/>
  <c r="E304" i="3"/>
  <c r="E300" i="3"/>
  <c r="E296" i="3"/>
  <c r="E292" i="3"/>
  <c r="E284" i="3"/>
  <c r="E280" i="3"/>
  <c r="E272" i="3"/>
  <c r="E264" i="3"/>
  <c r="E260" i="3"/>
  <c r="E252" i="3"/>
  <c r="E244" i="3"/>
  <c r="E240" i="3"/>
  <c r="E236" i="3"/>
  <c r="E232" i="3"/>
  <c r="E224" i="3"/>
  <c r="E220" i="3"/>
  <c r="E216" i="3"/>
  <c r="E208" i="3"/>
  <c r="E204" i="3"/>
  <c r="E200" i="3"/>
  <c r="E192" i="3"/>
  <c r="E184" i="3"/>
  <c r="E180" i="3"/>
  <c r="E172" i="3"/>
  <c r="E168" i="3"/>
  <c r="E164" i="3"/>
  <c r="E160" i="3"/>
  <c r="E156" i="3"/>
  <c r="E152" i="3"/>
  <c r="E148" i="3"/>
  <c r="E144" i="3"/>
  <c r="E140" i="3"/>
  <c r="E132" i="3"/>
  <c r="E128" i="3"/>
  <c r="E124" i="3"/>
  <c r="E120" i="3"/>
  <c r="E116" i="3"/>
  <c r="E112" i="3"/>
  <c r="E108" i="3"/>
  <c r="E104" i="3"/>
  <c r="E100" i="3"/>
  <c r="E96" i="3"/>
  <c r="E92" i="3"/>
  <c r="E88" i="3"/>
  <c r="E80" i="3"/>
  <c r="E76" i="3"/>
  <c r="E72" i="3"/>
  <c r="E68" i="3"/>
  <c r="E64" i="3"/>
  <c r="E60" i="3"/>
  <c r="E56" i="3"/>
  <c r="E48" i="3"/>
  <c r="E44" i="3"/>
  <c r="E40" i="3"/>
  <c r="E32" i="3"/>
  <c r="E28" i="3"/>
  <c r="E20" i="3"/>
  <c r="E16" i="3"/>
  <c r="E12" i="3"/>
  <c r="E8" i="3"/>
  <c r="F41" i="3"/>
  <c r="F33" i="3"/>
  <c r="F29" i="3"/>
  <c r="F25" i="3"/>
  <c r="F21" i="3"/>
  <c r="F17" i="3"/>
  <c r="F13" i="3"/>
  <c r="F9" i="3"/>
  <c r="G401" i="3"/>
  <c r="G373" i="3"/>
  <c r="G349" i="3"/>
  <c r="G345" i="3"/>
  <c r="G341" i="3"/>
  <c r="G333" i="3"/>
  <c r="G325" i="3"/>
  <c r="G321" i="3"/>
  <c r="G317" i="3"/>
  <c r="G309" i="3"/>
  <c r="G285" i="3"/>
  <c r="G277" i="3"/>
  <c r="G269" i="3"/>
  <c r="G265" i="3"/>
  <c r="G261" i="3"/>
  <c r="G249" i="3"/>
  <c r="G245" i="3"/>
  <c r="G233" i="3"/>
  <c r="G225" i="3"/>
  <c r="G205" i="3"/>
  <c r="G185" i="3"/>
  <c r="G173" i="3"/>
  <c r="G157" i="3"/>
  <c r="G125" i="3"/>
  <c r="G121" i="3"/>
  <c r="G113" i="3"/>
  <c r="G105" i="3"/>
  <c r="G101" i="3"/>
  <c r="G97" i="3"/>
  <c r="G93" i="3"/>
  <c r="G73" i="3"/>
  <c r="G65" i="3"/>
  <c r="G61" i="3"/>
  <c r="G57" i="3"/>
  <c r="G49" i="3"/>
  <c r="G29" i="3"/>
  <c r="G25" i="3"/>
  <c r="G21" i="3"/>
  <c r="G17" i="3"/>
  <c r="G13" i="3"/>
  <c r="E4" i="3"/>
  <c r="F428" i="3"/>
  <c r="F424" i="3"/>
  <c r="F420" i="3"/>
  <c r="F412" i="3"/>
  <c r="F404" i="3"/>
  <c r="F400" i="3"/>
  <c r="F396" i="3"/>
  <c r="F388" i="3"/>
  <c r="F384" i="3"/>
  <c r="F376" i="3"/>
  <c r="F368" i="3"/>
  <c r="F364" i="3"/>
  <c r="F360" i="3"/>
  <c r="F356" i="3"/>
  <c r="F348" i="3"/>
  <c r="F344" i="3"/>
  <c r="F340" i="3"/>
  <c r="F336" i="3"/>
  <c r="F332" i="3"/>
  <c r="F328" i="3"/>
  <c r="F324" i="3"/>
  <c r="F316" i="3"/>
  <c r="F312" i="3"/>
  <c r="F308" i="3"/>
  <c r="F304" i="3"/>
  <c r="F300" i="3"/>
  <c r="F296" i="3"/>
  <c r="F292" i="3"/>
  <c r="F284" i="3"/>
  <c r="F280" i="3"/>
  <c r="F272" i="3"/>
  <c r="F264" i="3"/>
  <c r="F260" i="3"/>
  <c r="F252" i="3"/>
  <c r="F244" i="3"/>
  <c r="F240" i="3"/>
  <c r="F236" i="3"/>
  <c r="F232" i="3"/>
  <c r="F224" i="3"/>
  <c r="F220" i="3"/>
  <c r="F216" i="3"/>
  <c r="F208" i="3"/>
  <c r="F204" i="3"/>
  <c r="F200" i="3"/>
  <c r="F196" i="3"/>
  <c r="F192" i="3"/>
  <c r="F184" i="3"/>
  <c r="F180" i="3"/>
  <c r="F172" i="3"/>
  <c r="F168" i="3"/>
  <c r="F164" i="3"/>
  <c r="F160" i="3"/>
  <c r="F152" i="3"/>
  <c r="F148" i="3"/>
  <c r="F144" i="3"/>
  <c r="F140" i="3"/>
  <c r="F136" i="3"/>
  <c r="F132" i="3"/>
  <c r="F128" i="3"/>
  <c r="F124" i="3"/>
  <c r="F116" i="3"/>
  <c r="F112" i="3"/>
  <c r="F108" i="3"/>
  <c r="F104" i="3"/>
  <c r="F100" i="3"/>
  <c r="F96" i="3"/>
  <c r="F92" i="3"/>
  <c r="F88" i="3"/>
  <c r="F84" i="3"/>
  <c r="F80" i="3"/>
  <c r="F76" i="3"/>
  <c r="F72" i="3"/>
  <c r="F68" i="3"/>
  <c r="F64" i="3"/>
  <c r="F60" i="3"/>
  <c r="F56" i="3"/>
  <c r="F48" i="3"/>
  <c r="F44" i="3"/>
  <c r="F40" i="3"/>
  <c r="F32" i="3"/>
  <c r="F28" i="3"/>
  <c r="F24" i="3"/>
  <c r="F20" i="3"/>
  <c r="F16" i="3"/>
  <c r="F15" i="3"/>
  <c r="F11" i="3"/>
  <c r="F7" i="3"/>
  <c r="G427" i="3"/>
  <c r="G423" i="3"/>
  <c r="G419" i="3"/>
  <c r="G415" i="3"/>
  <c r="G411" i="3"/>
  <c r="G407" i="3"/>
  <c r="G391" i="3"/>
  <c r="G387" i="3"/>
  <c r="G363" i="3"/>
  <c r="G355" i="3"/>
  <c r="G343" i="3"/>
  <c r="G339" i="3"/>
  <c r="G335" i="3"/>
  <c r="G327" i="3"/>
  <c r="G323" i="3"/>
  <c r="G311" i="3"/>
  <c r="G303" i="3"/>
  <c r="G299" i="3"/>
  <c r="G295" i="3"/>
  <c r="G291" i="3"/>
  <c r="G287" i="3"/>
  <c r="G283" i="3"/>
  <c r="G279" i="3"/>
  <c r="G275" i="3"/>
  <c r="G271" i="3"/>
  <c r="G267" i="3"/>
  <c r="G259" i="3"/>
  <c r="G255" i="3"/>
  <c r="G251" i="3"/>
  <c r="G247" i="3"/>
  <c r="G243" i="3"/>
  <c r="G239" i="3"/>
  <c r="G235" i="3"/>
  <c r="G231" i="3"/>
  <c r="G223" i="3"/>
  <c r="G219" i="3"/>
  <c r="G211" i="3"/>
  <c r="G207" i="3"/>
  <c r="G203" i="3"/>
  <c r="G191" i="3"/>
  <c r="G187" i="3"/>
  <c r="G183" i="3"/>
  <c r="G179" i="3"/>
  <c r="G175" i="3"/>
  <c r="G171" i="3"/>
  <c r="G167" i="3"/>
  <c r="G163" i="3"/>
  <c r="G159" i="3"/>
  <c r="G151" i="3"/>
  <c r="G147" i="3"/>
  <c r="G143" i="3"/>
  <c r="G139" i="3"/>
  <c r="G135" i="3"/>
  <c r="G131" i="3"/>
  <c r="G127" i="3"/>
  <c r="G123" i="3"/>
  <c r="G119" i="3"/>
  <c r="G115" i="3"/>
  <c r="G111" i="3"/>
  <c r="G107" i="3"/>
  <c r="G99" i="3"/>
  <c r="G95" i="3"/>
  <c r="G91" i="3"/>
  <c r="G87" i="3"/>
  <c r="G83" i="3"/>
  <c r="G79" i="3"/>
  <c r="G71" i="3"/>
  <c r="G67" i="3"/>
  <c r="G63" i="3"/>
  <c r="G59" i="3"/>
  <c r="G55" i="3"/>
  <c r="G51" i="3"/>
  <c r="G47" i="3"/>
  <c r="G39" i="3"/>
  <c r="G35" i="3"/>
  <c r="G31" i="3"/>
  <c r="G27" i="3"/>
  <c r="G23" i="3"/>
  <c r="G19" i="3"/>
  <c r="G15" i="3"/>
  <c r="G11" i="3"/>
  <c r="G7" i="3"/>
  <c r="F12" i="3"/>
  <c r="F8" i="3"/>
  <c r="F4" i="3"/>
  <c r="G428" i="3"/>
  <c r="G420" i="3"/>
  <c r="G412" i="3"/>
  <c r="G404" i="3"/>
  <c r="G396" i="3"/>
  <c r="G388" i="3"/>
  <c r="G384" i="3"/>
  <c r="G376" i="3"/>
  <c r="G368" i="3"/>
  <c r="G364" i="3"/>
  <c r="G360" i="3"/>
  <c r="G356" i="3"/>
  <c r="G344" i="3"/>
  <c r="G336" i="3"/>
  <c r="G332" i="3"/>
  <c r="G328" i="3"/>
  <c r="G324" i="3"/>
  <c r="G316" i="3"/>
  <c r="G312" i="3"/>
  <c r="G308" i="3"/>
  <c r="G304" i="3"/>
  <c r="G300" i="3"/>
  <c r="G296" i="3"/>
  <c r="G264" i="3"/>
  <c r="G260" i="3"/>
  <c r="G252" i="3"/>
  <c r="G240" i="3"/>
  <c r="G232" i="3"/>
  <c r="G224" i="3"/>
  <c r="G220" i="3"/>
  <c r="G216" i="3"/>
  <c r="G208" i="3"/>
  <c r="G204" i="3"/>
  <c r="G200" i="3"/>
  <c r="G196" i="3"/>
  <c r="G192" i="3"/>
  <c r="G180" i="3"/>
  <c r="G172" i="3"/>
  <c r="G168" i="3"/>
  <c r="G164" i="3"/>
  <c r="G160" i="3"/>
  <c r="G152" i="3"/>
  <c r="G144" i="3"/>
  <c r="G140" i="3"/>
  <c r="G136" i="3"/>
  <c r="G128" i="3"/>
  <c r="G124" i="3"/>
  <c r="G116" i="3"/>
  <c r="G112" i="3"/>
  <c r="G104" i="3"/>
  <c r="G100" i="3"/>
  <c r="G96" i="3"/>
  <c r="G92" i="3"/>
  <c r="G88" i="3"/>
  <c r="G80" i="3"/>
  <c r="G76" i="3"/>
  <c r="G68" i="3"/>
  <c r="G64" i="3"/>
  <c r="G60" i="3"/>
  <c r="G56" i="3"/>
  <c r="G48" i="3"/>
  <c r="G44" i="3"/>
  <c r="G40" i="3"/>
  <c r="G32" i="3"/>
  <c r="G24" i="3"/>
  <c r="G20" i="3"/>
  <c r="G16" i="3"/>
  <c r="G8" i="3"/>
  <c r="G4" i="3"/>
  <c r="B436" i="3"/>
  <c r="B437" i="3"/>
  <c r="K434" i="3"/>
  <c r="C434" i="3"/>
  <c r="B434" i="3"/>
  <c r="B438" i="3"/>
  <c r="C438" i="3"/>
  <c r="C437" i="3"/>
  <c r="C436" i="3"/>
  <c r="C435" i="3"/>
  <c r="B435" i="3"/>
  <c r="K438" i="3"/>
  <c r="K437" i="3"/>
  <c r="K436" i="3"/>
  <c r="T393" i="3" s="1"/>
  <c r="AC393" i="3" s="1"/>
  <c r="K435" i="3"/>
  <c r="T357" i="3" l="1"/>
  <c r="AC357" i="3" s="1"/>
  <c r="T26" i="3"/>
  <c r="AC26" i="3" s="1"/>
  <c r="T42" i="3"/>
  <c r="AC42" i="3" s="1"/>
  <c r="T202" i="3"/>
  <c r="AC202" i="3" s="1"/>
  <c r="T218" i="3"/>
  <c r="AC218" i="3" s="1"/>
  <c r="T11" i="3"/>
  <c r="AC11" i="3" s="1"/>
  <c r="T27" i="3"/>
  <c r="AC27" i="3" s="1"/>
  <c r="T43" i="3"/>
  <c r="AC43" i="3" s="1"/>
  <c r="T59" i="3"/>
  <c r="AC59" i="3" s="1"/>
  <c r="T219" i="3"/>
  <c r="AC219" i="3" s="1"/>
  <c r="T28" i="3"/>
  <c r="AC28" i="3" s="1"/>
  <c r="T44" i="3"/>
  <c r="AC44" i="3" s="1"/>
  <c r="T220" i="3"/>
  <c r="AC220" i="3" s="1"/>
  <c r="T236" i="3"/>
  <c r="AC236" i="3" s="1"/>
  <c r="T284" i="3"/>
  <c r="AC284" i="3" s="1"/>
  <c r="T374" i="3"/>
  <c r="AC374" i="3" s="1"/>
  <c r="T409" i="3"/>
  <c r="AC409" i="3" s="1"/>
  <c r="T335" i="3"/>
  <c r="AC335" i="3" s="1"/>
  <c r="T367" i="3"/>
  <c r="AC367" i="3" s="1"/>
  <c r="T225" i="3"/>
  <c r="AC225" i="3" s="1"/>
  <c r="T333" i="3"/>
  <c r="AC333" i="3" s="1"/>
  <c r="T364" i="3"/>
  <c r="AC364" i="3" s="1"/>
  <c r="T412" i="3"/>
  <c r="AC412" i="3" s="1"/>
  <c r="T428" i="3"/>
  <c r="AC428" i="3" s="1"/>
  <c r="T13" i="3"/>
  <c r="AC13" i="3" s="1"/>
  <c r="T37" i="3"/>
  <c r="AC37" i="3" s="1"/>
  <c r="T30" i="3"/>
  <c r="AC30" i="3" s="1"/>
  <c r="T110" i="3"/>
  <c r="AC110" i="3" s="1"/>
  <c r="T142" i="3"/>
  <c r="AC142" i="3" s="1"/>
  <c r="T222" i="3"/>
  <c r="AC222" i="3" s="1"/>
  <c r="T238" i="3"/>
  <c r="AC238" i="3" s="1"/>
  <c r="T254" i="3"/>
  <c r="AC254" i="3" s="1"/>
  <c r="T31" i="3"/>
  <c r="AC31" i="3" s="1"/>
  <c r="T143" i="3"/>
  <c r="AC143" i="3" s="1"/>
  <c r="T159" i="3"/>
  <c r="AC159" i="3" s="1"/>
  <c r="T191" i="3"/>
  <c r="AC191" i="3" s="1"/>
  <c r="T223" i="3"/>
  <c r="AC223" i="3" s="1"/>
  <c r="T32" i="3"/>
  <c r="AC32" i="3" s="1"/>
  <c r="T160" i="3"/>
  <c r="AC160" i="3" s="1"/>
  <c r="T224" i="3"/>
  <c r="AC224" i="3" s="1"/>
  <c r="T240" i="3"/>
  <c r="AC240" i="3" s="1"/>
  <c r="T362" i="3"/>
  <c r="AC362" i="3" s="1"/>
  <c r="T378" i="3"/>
  <c r="AC378" i="3" s="1"/>
  <c r="T426" i="3"/>
  <c r="AC426" i="3" s="1"/>
  <c r="T373" i="3"/>
  <c r="AC373" i="3" s="1"/>
  <c r="T421" i="3"/>
  <c r="AC421" i="3" s="1"/>
  <c r="T371" i="3"/>
  <c r="AC371" i="3" s="1"/>
  <c r="T403" i="3"/>
  <c r="AC403" i="3" s="1"/>
  <c r="T419" i="3"/>
  <c r="AC419" i="3" s="1"/>
  <c r="T237" i="3"/>
  <c r="AC237" i="3" s="1"/>
  <c r="T416" i="3"/>
  <c r="AC416" i="3" s="1"/>
  <c r="T25" i="3"/>
  <c r="AC25" i="3" s="1"/>
  <c r="T41" i="3"/>
  <c r="AC41" i="3" s="1"/>
  <c r="T34" i="3"/>
  <c r="AC34" i="3" s="1"/>
  <c r="T306" i="3"/>
  <c r="AC306" i="3" s="1"/>
  <c r="T35" i="3"/>
  <c r="AC35" i="3" s="1"/>
  <c r="T83" i="3"/>
  <c r="AC83" i="3" s="1"/>
  <c r="T227" i="3"/>
  <c r="AC227" i="3" s="1"/>
  <c r="T307" i="3"/>
  <c r="AC307" i="3" s="1"/>
  <c r="T36" i="3"/>
  <c r="AC36" i="3" s="1"/>
  <c r="T84" i="3"/>
  <c r="AC84" i="3" s="1"/>
  <c r="T228" i="3"/>
  <c r="AC228" i="3" s="1"/>
  <c r="T244" i="3"/>
  <c r="AC244" i="3" s="1"/>
  <c r="T308" i="3"/>
  <c r="AC308" i="3" s="1"/>
  <c r="T340" i="3"/>
  <c r="AC340" i="3" s="1"/>
  <c r="T334" i="3"/>
  <c r="AC334" i="3" s="1"/>
  <c r="T343" i="3"/>
  <c r="AC343" i="3" s="1"/>
  <c r="T407" i="3"/>
  <c r="AC407" i="3" s="1"/>
  <c r="T413" i="3"/>
  <c r="AC413" i="3" s="1"/>
  <c r="T372" i="3"/>
  <c r="AC372" i="3" s="1"/>
  <c r="T388" i="3"/>
  <c r="AC388" i="3" s="1"/>
  <c r="T29" i="3"/>
  <c r="AC29" i="3" s="1"/>
  <c r="T109" i="3"/>
  <c r="AC109" i="3" s="1"/>
  <c r="T229" i="3"/>
  <c r="AC229" i="3" s="1"/>
  <c r="L425" i="3"/>
  <c r="L398" i="3"/>
  <c r="L414" i="3"/>
  <c r="L430" i="3"/>
  <c r="L403" i="3"/>
  <c r="L419" i="3"/>
  <c r="L393" i="3"/>
  <c r="L417" i="3"/>
  <c r="L396" i="3"/>
  <c r="L412" i="3"/>
  <c r="L428" i="3"/>
  <c r="L402" i="3"/>
  <c r="L418" i="3"/>
  <c r="L391" i="3"/>
  <c r="L407" i="3"/>
  <c r="L423" i="3"/>
  <c r="L401" i="3"/>
  <c r="L421" i="3"/>
  <c r="L400" i="3"/>
  <c r="L416" i="3"/>
  <c r="L397" i="3"/>
  <c r="L390" i="3"/>
  <c r="L406" i="3"/>
  <c r="L422" i="3"/>
  <c r="L395" i="3"/>
  <c r="L411" i="3"/>
  <c r="L427" i="3"/>
  <c r="L405" i="3"/>
  <c r="L429" i="3"/>
  <c r="L404" i="3"/>
  <c r="L420" i="3"/>
  <c r="L413" i="3"/>
  <c r="L394" i="3"/>
  <c r="L410" i="3"/>
  <c r="L426" i="3"/>
  <c r="L399" i="3"/>
  <c r="L415" i="3"/>
  <c r="L431" i="3"/>
  <c r="L409" i="3"/>
  <c r="L392" i="3"/>
  <c r="L408" i="3"/>
  <c r="L424" i="3"/>
  <c r="K439" i="3"/>
  <c r="T277" i="3" s="1"/>
  <c r="AC277" i="3" s="1"/>
  <c r="H435" i="3"/>
  <c r="F436" i="3"/>
  <c r="E436" i="3"/>
  <c r="J434" i="3"/>
  <c r="S307" i="3" s="1"/>
  <c r="G434" i="3"/>
  <c r="P166" i="3" s="1"/>
  <c r="D434" i="3"/>
  <c r="J436" i="3"/>
  <c r="J435" i="3"/>
  <c r="H438" i="3"/>
  <c r="E434" i="3"/>
  <c r="I438" i="3"/>
  <c r="D438" i="3"/>
  <c r="F435" i="3"/>
  <c r="F438" i="3"/>
  <c r="E437" i="3"/>
  <c r="E439" i="3" s="1"/>
  <c r="G435" i="3"/>
  <c r="G436" i="3"/>
  <c r="G437" i="3"/>
  <c r="G438" i="3"/>
  <c r="H436" i="3"/>
  <c r="J437" i="3"/>
  <c r="I434" i="3"/>
  <c r="E438" i="3"/>
  <c r="E435" i="3"/>
  <c r="F437" i="3"/>
  <c r="D435" i="3"/>
  <c r="D436" i="3"/>
  <c r="D437" i="3"/>
  <c r="H437" i="3"/>
  <c r="J438" i="3"/>
  <c r="H434" i="3"/>
  <c r="I435" i="3"/>
  <c r="I436" i="3"/>
  <c r="I437" i="3"/>
  <c r="F434" i="3"/>
  <c r="C439" i="3"/>
  <c r="B439" i="3"/>
  <c r="L7" i="3"/>
  <c r="L11" i="3"/>
  <c r="L15" i="3"/>
  <c r="L19" i="3"/>
  <c r="L23" i="3"/>
  <c r="L27" i="3"/>
  <c r="L31" i="3"/>
  <c r="L35" i="3"/>
  <c r="L39" i="3"/>
  <c r="L43" i="3"/>
  <c r="L47" i="3"/>
  <c r="L51" i="3"/>
  <c r="L55" i="3"/>
  <c r="L59" i="3"/>
  <c r="L63" i="3"/>
  <c r="L67" i="3"/>
  <c r="L71" i="3"/>
  <c r="L75" i="3"/>
  <c r="L79" i="3"/>
  <c r="L83" i="3"/>
  <c r="L87" i="3"/>
  <c r="L91" i="3"/>
  <c r="L95" i="3"/>
  <c r="L99" i="3"/>
  <c r="L103" i="3"/>
  <c r="L107" i="3"/>
  <c r="L111" i="3"/>
  <c r="L115" i="3"/>
  <c r="L119" i="3"/>
  <c r="L123" i="3"/>
  <c r="L127" i="3"/>
  <c r="L131" i="3"/>
  <c r="L135" i="3"/>
  <c r="L139" i="3"/>
  <c r="L143" i="3"/>
  <c r="L147" i="3"/>
  <c r="L151" i="3"/>
  <c r="L155" i="3"/>
  <c r="L159" i="3"/>
  <c r="L163" i="3"/>
  <c r="L167" i="3"/>
  <c r="L171" i="3"/>
  <c r="L175" i="3"/>
  <c r="L179" i="3"/>
  <c r="L183" i="3"/>
  <c r="L187" i="3"/>
  <c r="L191" i="3"/>
  <c r="L195" i="3"/>
  <c r="L199" i="3"/>
  <c r="L203" i="3"/>
  <c r="L207" i="3"/>
  <c r="L211" i="3"/>
  <c r="L215" i="3"/>
  <c r="L219" i="3"/>
  <c r="L223" i="3"/>
  <c r="L227" i="3"/>
  <c r="L231" i="3"/>
  <c r="L235" i="3"/>
  <c r="L239" i="3"/>
  <c r="L243" i="3"/>
  <c r="L247" i="3"/>
  <c r="L251" i="3"/>
  <c r="L255" i="3"/>
  <c r="L259" i="3"/>
  <c r="L263" i="3"/>
  <c r="L267" i="3"/>
  <c r="L271" i="3"/>
  <c r="L275" i="3"/>
  <c r="L279" i="3"/>
  <c r="L285" i="3"/>
  <c r="L289" i="3"/>
  <c r="L293" i="3"/>
  <c r="L297" i="3"/>
  <c r="L301" i="3"/>
  <c r="L305" i="3"/>
  <c r="L309" i="3"/>
  <c r="L317" i="3"/>
  <c r="L325" i="3"/>
  <c r="L337" i="3"/>
  <c r="L347" i="3"/>
  <c r="L6" i="3"/>
  <c r="L10" i="3"/>
  <c r="L14" i="3"/>
  <c r="L18" i="3"/>
  <c r="L22" i="3"/>
  <c r="L26" i="3"/>
  <c r="L30" i="3"/>
  <c r="L34" i="3"/>
  <c r="L38" i="3"/>
  <c r="L42" i="3"/>
  <c r="L46" i="3"/>
  <c r="L50" i="3"/>
  <c r="L54" i="3"/>
  <c r="L58" i="3"/>
  <c r="L62" i="3"/>
  <c r="L66" i="3"/>
  <c r="L70" i="3"/>
  <c r="L74" i="3"/>
  <c r="L78" i="3"/>
  <c r="L82" i="3"/>
  <c r="L86" i="3"/>
  <c r="L90" i="3"/>
  <c r="L94" i="3"/>
  <c r="L98" i="3"/>
  <c r="L102" i="3"/>
  <c r="L106" i="3"/>
  <c r="L110" i="3"/>
  <c r="L114" i="3"/>
  <c r="L118" i="3"/>
  <c r="L122" i="3"/>
  <c r="L126" i="3"/>
  <c r="L130" i="3"/>
  <c r="L134" i="3"/>
  <c r="L138" i="3"/>
  <c r="L142" i="3"/>
  <c r="L146" i="3"/>
  <c r="L150" i="3"/>
  <c r="L154" i="3"/>
  <c r="L158" i="3"/>
  <c r="L162" i="3"/>
  <c r="L166" i="3"/>
  <c r="L170" i="3"/>
  <c r="L174" i="3"/>
  <c r="L178" i="3"/>
  <c r="L182" i="3"/>
  <c r="L186" i="3"/>
  <c r="L190" i="3"/>
  <c r="L194" i="3"/>
  <c r="L198" i="3"/>
  <c r="L202" i="3"/>
  <c r="L206" i="3"/>
  <c r="L210" i="3"/>
  <c r="L214" i="3"/>
  <c r="L218" i="3"/>
  <c r="L222" i="3"/>
  <c r="L226" i="3"/>
  <c r="L230" i="3"/>
  <c r="L234" i="3"/>
  <c r="L238" i="3"/>
  <c r="L242" i="3"/>
  <c r="L246" i="3"/>
  <c r="L250" i="3"/>
  <c r="L254" i="3"/>
  <c r="L258" i="3"/>
  <c r="L262" i="3"/>
  <c r="L266" i="3"/>
  <c r="L270" i="3"/>
  <c r="L274" i="3"/>
  <c r="L278" i="3"/>
  <c r="L282" i="3"/>
  <c r="L286" i="3"/>
  <c r="L290" i="3"/>
  <c r="L294" i="3"/>
  <c r="L4" i="3"/>
  <c r="L281" i="3"/>
  <c r="L315" i="3"/>
  <c r="L323" i="3"/>
  <c r="L329" i="3"/>
  <c r="L335" i="3"/>
  <c r="L343" i="3"/>
  <c r="L349" i="3"/>
  <c r="L298" i="3"/>
  <c r="L302" i="3"/>
  <c r="L306" i="3"/>
  <c r="L310" i="3"/>
  <c r="L314" i="3"/>
  <c r="L318" i="3"/>
  <c r="L322" i="3"/>
  <c r="L326" i="3"/>
  <c r="L330" i="3"/>
  <c r="L334" i="3"/>
  <c r="L338" i="3"/>
  <c r="L342" i="3"/>
  <c r="L346" i="3"/>
  <c r="L350" i="3"/>
  <c r="L354" i="3"/>
  <c r="L358" i="3"/>
  <c r="L362" i="3"/>
  <c r="L366" i="3"/>
  <c r="L370" i="3"/>
  <c r="L374" i="3"/>
  <c r="L378" i="3"/>
  <c r="L382" i="3"/>
  <c r="L386" i="3"/>
  <c r="L357" i="3"/>
  <c r="L361" i="3"/>
  <c r="L365" i="3"/>
  <c r="L369" i="3"/>
  <c r="L373" i="3"/>
  <c r="L377" i="3"/>
  <c r="L381" i="3"/>
  <c r="L385" i="3"/>
  <c r="L389" i="3"/>
  <c r="L5" i="3"/>
  <c r="L9" i="3"/>
  <c r="L13" i="3"/>
  <c r="L17" i="3"/>
  <c r="L21" i="3"/>
  <c r="L25" i="3"/>
  <c r="L29" i="3"/>
  <c r="L33" i="3"/>
  <c r="L37" i="3"/>
  <c r="L41" i="3"/>
  <c r="L45" i="3"/>
  <c r="L49" i="3"/>
  <c r="L53" i="3"/>
  <c r="L57" i="3"/>
  <c r="L61" i="3"/>
  <c r="L65" i="3"/>
  <c r="L69" i="3"/>
  <c r="L73" i="3"/>
  <c r="L77" i="3"/>
  <c r="L81" i="3"/>
  <c r="L85" i="3"/>
  <c r="L89" i="3"/>
  <c r="L93" i="3"/>
  <c r="L97" i="3"/>
  <c r="L101" i="3"/>
  <c r="L105" i="3"/>
  <c r="L109" i="3"/>
  <c r="L113" i="3"/>
  <c r="L117" i="3"/>
  <c r="L121" i="3"/>
  <c r="L125" i="3"/>
  <c r="L129" i="3"/>
  <c r="L133" i="3"/>
  <c r="L137" i="3"/>
  <c r="L141" i="3"/>
  <c r="L145" i="3"/>
  <c r="L149" i="3"/>
  <c r="L153" i="3"/>
  <c r="L157" i="3"/>
  <c r="L161" i="3"/>
  <c r="L165" i="3"/>
  <c r="L169" i="3"/>
  <c r="L173" i="3"/>
  <c r="L177" i="3"/>
  <c r="L181" i="3"/>
  <c r="L185" i="3"/>
  <c r="L189" i="3"/>
  <c r="L193" i="3"/>
  <c r="L197" i="3"/>
  <c r="L201" i="3"/>
  <c r="L205" i="3"/>
  <c r="L209" i="3"/>
  <c r="L213" i="3"/>
  <c r="L217" i="3"/>
  <c r="L221" i="3"/>
  <c r="L225" i="3"/>
  <c r="L229" i="3"/>
  <c r="L233" i="3"/>
  <c r="L237" i="3"/>
  <c r="L241" i="3"/>
  <c r="L245" i="3"/>
  <c r="L249" i="3"/>
  <c r="L253" i="3"/>
  <c r="L257" i="3"/>
  <c r="L261" i="3"/>
  <c r="L265" i="3"/>
  <c r="L269" i="3"/>
  <c r="L273" i="3"/>
  <c r="L277" i="3"/>
  <c r="L283" i="3"/>
  <c r="L287" i="3"/>
  <c r="L291" i="3"/>
  <c r="L295" i="3"/>
  <c r="L299" i="3"/>
  <c r="L303" i="3"/>
  <c r="L307" i="3"/>
  <c r="L313" i="3"/>
  <c r="L321" i="3"/>
  <c r="L331" i="3"/>
  <c r="L341" i="3"/>
  <c r="L353" i="3"/>
  <c r="L8" i="3"/>
  <c r="L12" i="3"/>
  <c r="L16" i="3"/>
  <c r="L20" i="3"/>
  <c r="L24" i="3"/>
  <c r="L28" i="3"/>
  <c r="L32" i="3"/>
  <c r="L36" i="3"/>
  <c r="L40" i="3"/>
  <c r="L44" i="3"/>
  <c r="L48" i="3"/>
  <c r="L52" i="3"/>
  <c r="L56" i="3"/>
  <c r="L60" i="3"/>
  <c r="L64" i="3"/>
  <c r="L68" i="3"/>
  <c r="L72" i="3"/>
  <c r="L76" i="3"/>
  <c r="L80" i="3"/>
  <c r="L84" i="3"/>
  <c r="L88" i="3"/>
  <c r="L92" i="3"/>
  <c r="L96" i="3"/>
  <c r="L100" i="3"/>
  <c r="L104" i="3"/>
  <c r="L108" i="3"/>
  <c r="L112" i="3"/>
  <c r="L116" i="3"/>
  <c r="L120" i="3"/>
  <c r="L124" i="3"/>
  <c r="L128" i="3"/>
  <c r="L132" i="3"/>
  <c r="L136" i="3"/>
  <c r="L140" i="3"/>
  <c r="L144" i="3"/>
  <c r="L148" i="3"/>
  <c r="L152" i="3"/>
  <c r="L156" i="3"/>
  <c r="L160" i="3"/>
  <c r="L164" i="3"/>
  <c r="L168" i="3"/>
  <c r="L172" i="3"/>
  <c r="L176" i="3"/>
  <c r="L180" i="3"/>
  <c r="L184" i="3"/>
  <c r="L188" i="3"/>
  <c r="L192" i="3"/>
  <c r="L196" i="3"/>
  <c r="L200" i="3"/>
  <c r="L204" i="3"/>
  <c r="L208" i="3"/>
  <c r="L212" i="3"/>
  <c r="L216" i="3"/>
  <c r="L220" i="3"/>
  <c r="L224" i="3"/>
  <c r="L228" i="3"/>
  <c r="L232" i="3"/>
  <c r="L236" i="3"/>
  <c r="L240" i="3"/>
  <c r="L244" i="3"/>
  <c r="L248" i="3"/>
  <c r="L252" i="3"/>
  <c r="L256" i="3"/>
  <c r="L260" i="3"/>
  <c r="L264" i="3"/>
  <c r="L268" i="3"/>
  <c r="L272" i="3"/>
  <c r="L276" i="3"/>
  <c r="L280" i="3"/>
  <c r="L284" i="3"/>
  <c r="L288" i="3"/>
  <c r="L292" i="3"/>
  <c r="L296" i="3"/>
  <c r="L311" i="3"/>
  <c r="L319" i="3"/>
  <c r="L327" i="3"/>
  <c r="L333" i="3"/>
  <c r="L339" i="3"/>
  <c r="L345" i="3"/>
  <c r="L351" i="3"/>
  <c r="L300" i="3"/>
  <c r="L304" i="3"/>
  <c r="L308" i="3"/>
  <c r="L312" i="3"/>
  <c r="L316" i="3"/>
  <c r="L320" i="3"/>
  <c r="L324" i="3"/>
  <c r="L328" i="3"/>
  <c r="L332" i="3"/>
  <c r="L336" i="3"/>
  <c r="L340" i="3"/>
  <c r="L344" i="3"/>
  <c r="L348" i="3"/>
  <c r="L352" i="3"/>
  <c r="L356" i="3"/>
  <c r="L360" i="3"/>
  <c r="L364" i="3"/>
  <c r="L368" i="3"/>
  <c r="L372" i="3"/>
  <c r="L376" i="3"/>
  <c r="L380" i="3"/>
  <c r="L384" i="3"/>
  <c r="L388" i="3"/>
  <c r="L355" i="3"/>
  <c r="L359" i="3"/>
  <c r="L363" i="3"/>
  <c r="L367" i="3"/>
  <c r="L371" i="3"/>
  <c r="L375" i="3"/>
  <c r="L379" i="3"/>
  <c r="L383" i="3"/>
  <c r="L387" i="3"/>
  <c r="T349" i="3" l="1"/>
  <c r="AC349" i="3" s="1"/>
  <c r="T375" i="3"/>
  <c r="AC375" i="3" s="1"/>
  <c r="T116" i="3"/>
  <c r="AC116" i="3" s="1"/>
  <c r="T163" i="3"/>
  <c r="AC163" i="3" s="1"/>
  <c r="T210" i="3"/>
  <c r="AC210" i="3" s="1"/>
  <c r="T297" i="3"/>
  <c r="AC297" i="3" s="1"/>
  <c r="T368" i="3"/>
  <c r="AC368" i="3" s="1"/>
  <c r="T355" i="3"/>
  <c r="AC355" i="3" s="1"/>
  <c r="T314" i="3"/>
  <c r="AC314" i="3" s="1"/>
  <c r="T96" i="3"/>
  <c r="AC96" i="3" s="1"/>
  <c r="T207" i="3"/>
  <c r="AC207" i="3" s="1"/>
  <c r="T405" i="3"/>
  <c r="AC405" i="3" s="1"/>
  <c r="T53" i="3"/>
  <c r="AC53" i="3" s="1"/>
  <c r="T422" i="3"/>
  <c r="AC422" i="3" s="1"/>
  <c r="T204" i="3"/>
  <c r="AC204" i="3" s="1"/>
  <c r="T12" i="3"/>
  <c r="AC12" i="3" s="1"/>
  <c r="T234" i="3"/>
  <c r="AC234" i="3" s="1"/>
  <c r="T170" i="3"/>
  <c r="AC170" i="3" s="1"/>
  <c r="T313" i="3"/>
  <c r="AC313" i="3" s="1"/>
  <c r="T301" i="3"/>
  <c r="AC301" i="3" s="1"/>
  <c r="T149" i="3"/>
  <c r="AC149" i="3" s="1"/>
  <c r="T77" i="3"/>
  <c r="AC77" i="3" s="1"/>
  <c r="T5" i="3"/>
  <c r="AC5" i="3" s="1"/>
  <c r="T309" i="3"/>
  <c r="AC309" i="3" s="1"/>
  <c r="T423" i="3"/>
  <c r="AC423" i="3" s="1"/>
  <c r="T359" i="3"/>
  <c r="AC359" i="3" s="1"/>
  <c r="T385" i="3"/>
  <c r="AC385" i="3" s="1"/>
  <c r="T173" i="3"/>
  <c r="AC173" i="3" s="1"/>
  <c r="T382" i="3"/>
  <c r="AC382" i="3" s="1"/>
  <c r="T318" i="3"/>
  <c r="AC318" i="3" s="1"/>
  <c r="T292" i="3"/>
  <c r="AC292" i="3" s="1"/>
  <c r="T164" i="3"/>
  <c r="AC164" i="3" s="1"/>
  <c r="T100" i="3"/>
  <c r="AC100" i="3" s="1"/>
  <c r="T275" i="3"/>
  <c r="AC275" i="3" s="1"/>
  <c r="T211" i="3"/>
  <c r="AC211" i="3" s="1"/>
  <c r="T147" i="3"/>
  <c r="AC147" i="3" s="1"/>
  <c r="T19" i="3"/>
  <c r="AC19" i="3" s="1"/>
  <c r="T258" i="3"/>
  <c r="AC258" i="3" s="1"/>
  <c r="T194" i="3"/>
  <c r="AC194" i="3" s="1"/>
  <c r="T130" i="3"/>
  <c r="AC130" i="3" s="1"/>
  <c r="T66" i="3"/>
  <c r="AC66" i="3" s="1"/>
  <c r="T417" i="3"/>
  <c r="AC417" i="3" s="1"/>
  <c r="T257" i="3"/>
  <c r="AC257" i="3" s="1"/>
  <c r="T121" i="3"/>
  <c r="AC121" i="3" s="1"/>
  <c r="T57" i="3"/>
  <c r="AC57" i="3" s="1"/>
  <c r="T352" i="3"/>
  <c r="AC352" i="3" s="1"/>
  <c r="T339" i="3"/>
  <c r="AC339" i="3" s="1"/>
  <c r="T317" i="3"/>
  <c r="AC317" i="3" s="1"/>
  <c r="T336" i="3"/>
  <c r="AC336" i="3" s="1"/>
  <c r="T272" i="3"/>
  <c r="AC272" i="3" s="1"/>
  <c r="T208" i="3"/>
  <c r="AC208" i="3" s="1"/>
  <c r="T144" i="3"/>
  <c r="AC144" i="3" s="1"/>
  <c r="T80" i="3"/>
  <c r="AC80" i="3" s="1"/>
  <c r="T16" i="3"/>
  <c r="AC16" i="3" s="1"/>
  <c r="T255" i="3"/>
  <c r="AC255" i="3" s="1"/>
  <c r="T127" i="3"/>
  <c r="AC127" i="3" s="1"/>
  <c r="T63" i="3"/>
  <c r="AC63" i="3" s="1"/>
  <c r="T302" i="3"/>
  <c r="AC302" i="3" s="1"/>
  <c r="T174" i="3"/>
  <c r="AC174" i="3" s="1"/>
  <c r="T46" i="3"/>
  <c r="AC46" i="3" s="1"/>
  <c r="T365" i="3"/>
  <c r="AC365" i="3" s="1"/>
  <c r="T213" i="3"/>
  <c r="AC213" i="3" s="1"/>
  <c r="T101" i="3"/>
  <c r="AC101" i="3" s="1"/>
  <c r="T396" i="3"/>
  <c r="AC396" i="3" s="1"/>
  <c r="T381" i="3"/>
  <c r="AC381" i="3" s="1"/>
  <c r="T165" i="3"/>
  <c r="AC165" i="3" s="1"/>
  <c r="T383" i="3"/>
  <c r="AC383" i="3" s="1"/>
  <c r="T319" i="3"/>
  <c r="AC319" i="3" s="1"/>
  <c r="T245" i="3"/>
  <c r="AC245" i="3" s="1"/>
  <c r="T406" i="3"/>
  <c r="AC406" i="3" s="1"/>
  <c r="T342" i="3"/>
  <c r="AC342" i="3" s="1"/>
  <c r="T316" i="3"/>
  <c r="AC316" i="3" s="1"/>
  <c r="T252" i="3"/>
  <c r="AC252" i="3" s="1"/>
  <c r="T188" i="3"/>
  <c r="AC188" i="3" s="1"/>
  <c r="T124" i="3"/>
  <c r="AC124" i="3" s="1"/>
  <c r="T60" i="3"/>
  <c r="AC60" i="3" s="1"/>
  <c r="T299" i="3"/>
  <c r="AC299" i="3" s="1"/>
  <c r="T235" i="3"/>
  <c r="AC235" i="3" s="1"/>
  <c r="T171" i="3"/>
  <c r="AC171" i="3" s="1"/>
  <c r="T107" i="3"/>
  <c r="AC107" i="3" s="1"/>
  <c r="T282" i="3"/>
  <c r="AC282" i="3" s="1"/>
  <c r="T154" i="3"/>
  <c r="AC154" i="3" s="1"/>
  <c r="T90" i="3"/>
  <c r="AC90" i="3" s="1"/>
  <c r="S139" i="3"/>
  <c r="T161" i="3"/>
  <c r="AC161" i="3" s="1"/>
  <c r="T315" i="3"/>
  <c r="AC315" i="3" s="1"/>
  <c r="T289" i="3"/>
  <c r="AC289" i="3" s="1"/>
  <c r="T354" i="3"/>
  <c r="AC354" i="3" s="1"/>
  <c r="T344" i="3"/>
  <c r="AC344" i="3" s="1"/>
  <c r="T248" i="3"/>
  <c r="AC248" i="3" s="1"/>
  <c r="T216" i="3"/>
  <c r="AC216" i="3" s="1"/>
  <c r="T168" i="3"/>
  <c r="AC168" i="3" s="1"/>
  <c r="T120" i="3"/>
  <c r="AC120" i="3" s="1"/>
  <c r="T72" i="3"/>
  <c r="AC72" i="3" s="1"/>
  <c r="T183" i="3"/>
  <c r="AC183" i="3" s="1"/>
  <c r="T135" i="3"/>
  <c r="AC135" i="3" s="1"/>
  <c r="T87" i="3"/>
  <c r="AC87" i="3" s="1"/>
  <c r="T294" i="3"/>
  <c r="AC294" i="3" s="1"/>
  <c r="T246" i="3"/>
  <c r="AC246" i="3" s="1"/>
  <c r="T198" i="3"/>
  <c r="AC198" i="3" s="1"/>
  <c r="T150" i="3"/>
  <c r="AC150" i="3" s="1"/>
  <c r="T86" i="3"/>
  <c r="AC86" i="3" s="1"/>
  <c r="T247" i="3"/>
  <c r="AC247" i="3" s="1"/>
  <c r="T70" i="3"/>
  <c r="AC70" i="3" s="1"/>
  <c r="T6" i="3"/>
  <c r="AC6" i="3" s="1"/>
  <c r="T201" i="3"/>
  <c r="AC201" i="3" s="1"/>
  <c r="T129" i="3"/>
  <c r="AC129" i="3" s="1"/>
  <c r="T97" i="3"/>
  <c r="AC97" i="3" s="1"/>
  <c r="T81" i="3"/>
  <c r="AC81" i="3" s="1"/>
  <c r="T65" i="3"/>
  <c r="AC65" i="3" s="1"/>
  <c r="T49" i="3"/>
  <c r="AC49" i="3" s="1"/>
  <c r="T9" i="3"/>
  <c r="AC9" i="3" s="1"/>
  <c r="T408" i="3"/>
  <c r="AC408" i="3" s="1"/>
  <c r="T392" i="3"/>
  <c r="AC392" i="3" s="1"/>
  <c r="T376" i="3"/>
  <c r="AC376" i="3" s="1"/>
  <c r="T360" i="3"/>
  <c r="AC360" i="3" s="1"/>
  <c r="T369" i="3"/>
  <c r="AC369" i="3" s="1"/>
  <c r="T265" i="3"/>
  <c r="AC265" i="3" s="1"/>
  <c r="T209" i="3"/>
  <c r="AC209" i="3" s="1"/>
  <c r="T153" i="3"/>
  <c r="AC153" i="3" s="1"/>
  <c r="T411" i="3"/>
  <c r="AC411" i="3" s="1"/>
  <c r="T331" i="3"/>
  <c r="AC331" i="3" s="1"/>
  <c r="T345" i="3"/>
  <c r="AC345" i="3" s="1"/>
  <c r="T185" i="3"/>
  <c r="AC185" i="3" s="1"/>
  <c r="T386" i="3"/>
  <c r="AC386" i="3" s="1"/>
  <c r="T370" i="3"/>
  <c r="AC370" i="3" s="1"/>
  <c r="T338" i="3"/>
  <c r="AC338" i="3" s="1"/>
  <c r="T322" i="3"/>
  <c r="AC322" i="3" s="1"/>
  <c r="T328" i="3"/>
  <c r="AC328" i="3" s="1"/>
  <c r="T312" i="3"/>
  <c r="AC312" i="3" s="1"/>
  <c r="T280" i="3"/>
  <c r="AC280" i="3" s="1"/>
  <c r="T184" i="3"/>
  <c r="AC184" i="3" s="1"/>
  <c r="T152" i="3"/>
  <c r="AC152" i="3" s="1"/>
  <c r="T136" i="3"/>
  <c r="AC136" i="3" s="1"/>
  <c r="T104" i="3"/>
  <c r="AC104" i="3" s="1"/>
  <c r="T88" i="3"/>
  <c r="AC88" i="3" s="1"/>
  <c r="T56" i="3"/>
  <c r="AC56" i="3" s="1"/>
  <c r="T8" i="3"/>
  <c r="AC8" i="3" s="1"/>
  <c r="T279" i="3"/>
  <c r="AC279" i="3" s="1"/>
  <c r="T263" i="3"/>
  <c r="AC263" i="3" s="1"/>
  <c r="T215" i="3"/>
  <c r="AC215" i="3" s="1"/>
  <c r="T199" i="3"/>
  <c r="AC199" i="3" s="1"/>
  <c r="T167" i="3"/>
  <c r="AC167" i="3" s="1"/>
  <c r="T151" i="3"/>
  <c r="AC151" i="3" s="1"/>
  <c r="T119" i="3"/>
  <c r="AC119" i="3" s="1"/>
  <c r="T103" i="3"/>
  <c r="AC103" i="3" s="1"/>
  <c r="T71" i="3"/>
  <c r="AC71" i="3" s="1"/>
  <c r="T55" i="3"/>
  <c r="AC55" i="3" s="1"/>
  <c r="T7" i="3"/>
  <c r="AC7" i="3" s="1"/>
  <c r="T278" i="3"/>
  <c r="AC278" i="3" s="1"/>
  <c r="T262" i="3"/>
  <c r="AC262" i="3" s="1"/>
  <c r="T214" i="3"/>
  <c r="AC214" i="3" s="1"/>
  <c r="T182" i="3"/>
  <c r="AC182" i="3" s="1"/>
  <c r="T166" i="3"/>
  <c r="AC166" i="3" s="1"/>
  <c r="T134" i="3"/>
  <c r="AC134" i="3" s="1"/>
  <c r="T118" i="3"/>
  <c r="AC118" i="3" s="1"/>
  <c r="T102" i="3"/>
  <c r="AC102" i="3" s="1"/>
  <c r="T54" i="3"/>
  <c r="AC54" i="3" s="1"/>
  <c r="T93" i="3"/>
  <c r="AC93" i="3" s="1"/>
  <c r="T353" i="3"/>
  <c r="AC353" i="3" s="1"/>
  <c r="T221" i="3"/>
  <c r="AC221" i="3" s="1"/>
  <c r="T274" i="3"/>
  <c r="AC274" i="3" s="1"/>
  <c r="T18" i="3"/>
  <c r="AC18" i="3" s="1"/>
  <c r="T73" i="3"/>
  <c r="AC73" i="3" s="1"/>
  <c r="T271" i="3"/>
  <c r="AC271" i="3" s="1"/>
  <c r="T15" i="3"/>
  <c r="AC15" i="3" s="1"/>
  <c r="T126" i="3"/>
  <c r="AC126" i="3" s="1"/>
  <c r="T399" i="3"/>
  <c r="AC399" i="3" s="1"/>
  <c r="T332" i="3"/>
  <c r="AC332" i="3" s="1"/>
  <c r="T76" i="3"/>
  <c r="AC76" i="3" s="1"/>
  <c r="T187" i="3"/>
  <c r="AC187" i="3" s="1"/>
  <c r="T106" i="3"/>
  <c r="AC106" i="3" s="1"/>
  <c r="M7" i="3"/>
  <c r="M11" i="3"/>
  <c r="M15" i="3"/>
  <c r="M19" i="3"/>
  <c r="M4" i="3"/>
  <c r="M8" i="3"/>
  <c r="M12" i="3"/>
  <c r="M16" i="3"/>
  <c r="M9" i="3"/>
  <c r="M17" i="3"/>
  <c r="M22" i="3"/>
  <c r="M26" i="3"/>
  <c r="M30" i="3"/>
  <c r="M34" i="3"/>
  <c r="M38" i="3"/>
  <c r="M42" i="3"/>
  <c r="M46" i="3"/>
  <c r="M50" i="3"/>
  <c r="M54" i="3"/>
  <c r="M58" i="3"/>
  <c r="M62" i="3"/>
  <c r="M66" i="3"/>
  <c r="M70" i="3"/>
  <c r="M74" i="3"/>
  <c r="M78" i="3"/>
  <c r="M82" i="3"/>
  <c r="M86" i="3"/>
  <c r="M90" i="3"/>
  <c r="M94" i="3"/>
  <c r="M98" i="3"/>
  <c r="M102" i="3"/>
  <c r="M106" i="3"/>
  <c r="M110" i="3"/>
  <c r="M114" i="3"/>
  <c r="M118" i="3"/>
  <c r="M122" i="3"/>
  <c r="M126" i="3"/>
  <c r="M130" i="3"/>
  <c r="M134" i="3"/>
  <c r="M138" i="3"/>
  <c r="M142" i="3"/>
  <c r="M146" i="3"/>
  <c r="M150" i="3"/>
  <c r="M154" i="3"/>
  <c r="M158" i="3"/>
  <c r="M162" i="3"/>
  <c r="M166" i="3"/>
  <c r="M170" i="3"/>
  <c r="M174" i="3"/>
  <c r="M178" i="3"/>
  <c r="M182" i="3"/>
  <c r="M186" i="3"/>
  <c r="M190" i="3"/>
  <c r="M194" i="3"/>
  <c r="M198" i="3"/>
  <c r="M202" i="3"/>
  <c r="M206" i="3"/>
  <c r="M210" i="3"/>
  <c r="M214" i="3"/>
  <c r="M218" i="3"/>
  <c r="M222" i="3"/>
  <c r="M226" i="3"/>
  <c r="M230" i="3"/>
  <c r="M234" i="3"/>
  <c r="M238" i="3"/>
  <c r="M242" i="3"/>
  <c r="M246" i="3"/>
  <c r="M250" i="3"/>
  <c r="M254" i="3"/>
  <c r="M258" i="3"/>
  <c r="M262" i="3"/>
  <c r="M266" i="3"/>
  <c r="M270" i="3"/>
  <c r="M274" i="3"/>
  <c r="M278" i="3"/>
  <c r="M282" i="3"/>
  <c r="M286" i="3"/>
  <c r="M290" i="3"/>
  <c r="M294" i="3"/>
  <c r="M298" i="3"/>
  <c r="M302" i="3"/>
  <c r="M306" i="3"/>
  <c r="M310" i="3"/>
  <c r="M314" i="3"/>
  <c r="M318" i="3"/>
  <c r="M322" i="3"/>
  <c r="M326" i="3"/>
  <c r="M330" i="3"/>
  <c r="M334" i="3"/>
  <c r="M338" i="3"/>
  <c r="M342" i="3"/>
  <c r="M346" i="3"/>
  <c r="M350" i="3"/>
  <c r="M354" i="3"/>
  <c r="M358" i="3"/>
  <c r="M362" i="3"/>
  <c r="M366" i="3"/>
  <c r="M370" i="3"/>
  <c r="M374" i="3"/>
  <c r="M378" i="3"/>
  <c r="M382" i="3"/>
  <c r="M386" i="3"/>
  <c r="M390" i="3"/>
  <c r="M394" i="3"/>
  <c r="M398" i="3"/>
  <c r="M402" i="3"/>
  <c r="M406" i="3"/>
  <c r="M410" i="3"/>
  <c r="M414" i="3"/>
  <c r="M418" i="3"/>
  <c r="M422" i="3"/>
  <c r="M426" i="3"/>
  <c r="M430" i="3"/>
  <c r="M10" i="3"/>
  <c r="M18" i="3"/>
  <c r="M23" i="3"/>
  <c r="M27" i="3"/>
  <c r="M31" i="3"/>
  <c r="M35" i="3"/>
  <c r="M39" i="3"/>
  <c r="M43" i="3"/>
  <c r="M47" i="3"/>
  <c r="M51" i="3"/>
  <c r="M55" i="3"/>
  <c r="M59" i="3"/>
  <c r="M63" i="3"/>
  <c r="M67" i="3"/>
  <c r="M71" i="3"/>
  <c r="M75" i="3"/>
  <c r="M79" i="3"/>
  <c r="M83" i="3"/>
  <c r="M87" i="3"/>
  <c r="M91" i="3"/>
  <c r="M95" i="3"/>
  <c r="M99" i="3"/>
  <c r="M103" i="3"/>
  <c r="M107" i="3"/>
  <c r="M111" i="3"/>
  <c r="M115" i="3"/>
  <c r="M119" i="3"/>
  <c r="M123" i="3"/>
  <c r="M127" i="3"/>
  <c r="M131" i="3"/>
  <c r="M135" i="3"/>
  <c r="M139" i="3"/>
  <c r="M143" i="3"/>
  <c r="M147" i="3"/>
  <c r="M151" i="3"/>
  <c r="M155" i="3"/>
  <c r="M159" i="3"/>
  <c r="M163" i="3"/>
  <c r="M167" i="3"/>
  <c r="M171" i="3"/>
  <c r="M175" i="3"/>
  <c r="M179" i="3"/>
  <c r="M183" i="3"/>
  <c r="M187" i="3"/>
  <c r="M191" i="3"/>
  <c r="M195" i="3"/>
  <c r="M199" i="3"/>
  <c r="M203" i="3"/>
  <c r="M207" i="3"/>
  <c r="M211" i="3"/>
  <c r="M215" i="3"/>
  <c r="M219" i="3"/>
  <c r="M223" i="3"/>
  <c r="M227" i="3"/>
  <c r="M231" i="3"/>
  <c r="M235" i="3"/>
  <c r="M239" i="3"/>
  <c r="M243" i="3"/>
  <c r="M247" i="3"/>
  <c r="M251" i="3"/>
  <c r="M255" i="3"/>
  <c r="M259" i="3"/>
  <c r="M263" i="3"/>
  <c r="M267" i="3"/>
  <c r="M271" i="3"/>
  <c r="M275" i="3"/>
  <c r="M279" i="3"/>
  <c r="M283" i="3"/>
  <c r="M287" i="3"/>
  <c r="M291" i="3"/>
  <c r="M295" i="3"/>
  <c r="M299" i="3"/>
  <c r="M303" i="3"/>
  <c r="M307" i="3"/>
  <c r="M311" i="3"/>
  <c r="M315" i="3"/>
  <c r="M319" i="3"/>
  <c r="M323" i="3"/>
  <c r="M327" i="3"/>
  <c r="M331" i="3"/>
  <c r="M335" i="3"/>
  <c r="M339" i="3"/>
  <c r="M343" i="3"/>
  <c r="M347" i="3"/>
  <c r="M351" i="3"/>
  <c r="M355" i="3"/>
  <c r="M359" i="3"/>
  <c r="M363" i="3"/>
  <c r="M367" i="3"/>
  <c r="M371" i="3"/>
  <c r="M375" i="3"/>
  <c r="M379" i="3"/>
  <c r="M383" i="3"/>
  <c r="M387" i="3"/>
  <c r="M391" i="3"/>
  <c r="M395" i="3"/>
  <c r="M399" i="3"/>
  <c r="M403" i="3"/>
  <c r="M407" i="3"/>
  <c r="M411" i="3"/>
  <c r="M415" i="3"/>
  <c r="M419" i="3"/>
  <c r="M423" i="3"/>
  <c r="M427" i="3"/>
  <c r="M431" i="3"/>
  <c r="M5" i="3"/>
  <c r="M20" i="3"/>
  <c r="M28" i="3"/>
  <c r="M36" i="3"/>
  <c r="M44" i="3"/>
  <c r="M52" i="3"/>
  <c r="M60" i="3"/>
  <c r="M68" i="3"/>
  <c r="M76" i="3"/>
  <c r="M84" i="3"/>
  <c r="M92" i="3"/>
  <c r="M100" i="3"/>
  <c r="M108" i="3"/>
  <c r="M116" i="3"/>
  <c r="M124" i="3"/>
  <c r="M132" i="3"/>
  <c r="M140" i="3"/>
  <c r="M148" i="3"/>
  <c r="M156" i="3"/>
  <c r="M164" i="3"/>
  <c r="M172" i="3"/>
  <c r="M180" i="3"/>
  <c r="M188" i="3"/>
  <c r="M196" i="3"/>
  <c r="M204" i="3"/>
  <c r="M212" i="3"/>
  <c r="M220" i="3"/>
  <c r="M228" i="3"/>
  <c r="M236" i="3"/>
  <c r="M244" i="3"/>
  <c r="M252" i="3"/>
  <c r="M260" i="3"/>
  <c r="M268" i="3"/>
  <c r="M276" i="3"/>
  <c r="M284" i="3"/>
  <c r="M292" i="3"/>
  <c r="M300" i="3"/>
  <c r="M308" i="3"/>
  <c r="M316" i="3"/>
  <c r="M324" i="3"/>
  <c r="M332" i="3"/>
  <c r="M340" i="3"/>
  <c r="M348" i="3"/>
  <c r="M356" i="3"/>
  <c r="M364" i="3"/>
  <c r="M372" i="3"/>
  <c r="M380" i="3"/>
  <c r="M388" i="3"/>
  <c r="M396" i="3"/>
  <c r="M404" i="3"/>
  <c r="M412" i="3"/>
  <c r="M420" i="3"/>
  <c r="M428" i="3"/>
  <c r="M13" i="3"/>
  <c r="M32" i="3"/>
  <c r="M48" i="3"/>
  <c r="M64" i="3"/>
  <c r="M88" i="3"/>
  <c r="M104" i="3"/>
  <c r="M120" i="3"/>
  <c r="M136" i="3"/>
  <c r="M152" i="3"/>
  <c r="M168" i="3"/>
  <c r="M184" i="3"/>
  <c r="M200" i="3"/>
  <c r="M216" i="3"/>
  <c r="M232" i="3"/>
  <c r="M248" i="3"/>
  <c r="M264" i="3"/>
  <c r="M280" i="3"/>
  <c r="M296" i="3"/>
  <c r="M312" i="3"/>
  <c r="M328" i="3"/>
  <c r="M344" i="3"/>
  <c r="M360" i="3"/>
  <c r="M376" i="3"/>
  <c r="M392" i="3"/>
  <c r="M408" i="3"/>
  <c r="M424" i="3"/>
  <c r="M6" i="3"/>
  <c r="M21" i="3"/>
  <c r="M29" i="3"/>
  <c r="M37" i="3"/>
  <c r="M45" i="3"/>
  <c r="M53" i="3"/>
  <c r="M61" i="3"/>
  <c r="M69" i="3"/>
  <c r="M77" i="3"/>
  <c r="M85" i="3"/>
  <c r="M93" i="3"/>
  <c r="M101" i="3"/>
  <c r="M109" i="3"/>
  <c r="M117" i="3"/>
  <c r="M125" i="3"/>
  <c r="M133" i="3"/>
  <c r="M141" i="3"/>
  <c r="M149" i="3"/>
  <c r="M157" i="3"/>
  <c r="M165" i="3"/>
  <c r="M173" i="3"/>
  <c r="M181" i="3"/>
  <c r="M189" i="3"/>
  <c r="M197" i="3"/>
  <c r="M205" i="3"/>
  <c r="M213" i="3"/>
  <c r="M221" i="3"/>
  <c r="M229" i="3"/>
  <c r="M237" i="3"/>
  <c r="M245" i="3"/>
  <c r="M253" i="3"/>
  <c r="M261" i="3"/>
  <c r="M269" i="3"/>
  <c r="M277" i="3"/>
  <c r="M285" i="3"/>
  <c r="M293" i="3"/>
  <c r="M301" i="3"/>
  <c r="M309" i="3"/>
  <c r="M317" i="3"/>
  <c r="M325" i="3"/>
  <c r="M333" i="3"/>
  <c r="M341" i="3"/>
  <c r="M349" i="3"/>
  <c r="M357" i="3"/>
  <c r="M365" i="3"/>
  <c r="M373" i="3"/>
  <c r="M381" i="3"/>
  <c r="M389" i="3"/>
  <c r="M397" i="3"/>
  <c r="M405" i="3"/>
  <c r="M413" i="3"/>
  <c r="M421" i="3"/>
  <c r="M429" i="3"/>
  <c r="M24" i="3"/>
  <c r="M40" i="3"/>
  <c r="M56" i="3"/>
  <c r="M72" i="3"/>
  <c r="M80" i="3"/>
  <c r="M96" i="3"/>
  <c r="M112" i="3"/>
  <c r="M128" i="3"/>
  <c r="M144" i="3"/>
  <c r="M160" i="3"/>
  <c r="M176" i="3"/>
  <c r="M192" i="3"/>
  <c r="M208" i="3"/>
  <c r="M224" i="3"/>
  <c r="M240" i="3"/>
  <c r="M256" i="3"/>
  <c r="M272" i="3"/>
  <c r="M288" i="3"/>
  <c r="M304" i="3"/>
  <c r="M320" i="3"/>
  <c r="M336" i="3"/>
  <c r="M352" i="3"/>
  <c r="M368" i="3"/>
  <c r="M384" i="3"/>
  <c r="M400" i="3"/>
  <c r="M416" i="3"/>
  <c r="M41" i="3"/>
  <c r="M73" i="3"/>
  <c r="M105" i="3"/>
  <c r="M137" i="3"/>
  <c r="M169" i="3"/>
  <c r="M201" i="3"/>
  <c r="M233" i="3"/>
  <c r="M265" i="3"/>
  <c r="M297" i="3"/>
  <c r="M329" i="3"/>
  <c r="M361" i="3"/>
  <c r="M393" i="3"/>
  <c r="M425" i="3"/>
  <c r="M49" i="3"/>
  <c r="M145" i="3"/>
  <c r="M209" i="3"/>
  <c r="M273" i="3"/>
  <c r="M337" i="3"/>
  <c r="M401" i="3"/>
  <c r="M25" i="3"/>
  <c r="M89" i="3"/>
  <c r="M153" i="3"/>
  <c r="M217" i="3"/>
  <c r="M281" i="3"/>
  <c r="M345" i="3"/>
  <c r="M409" i="3"/>
  <c r="M33" i="3"/>
  <c r="M65" i="3"/>
  <c r="M97" i="3"/>
  <c r="M129" i="3"/>
  <c r="M161" i="3"/>
  <c r="M193" i="3"/>
  <c r="M225" i="3"/>
  <c r="M257" i="3"/>
  <c r="M289" i="3"/>
  <c r="M321" i="3"/>
  <c r="M353" i="3"/>
  <c r="M385" i="3"/>
  <c r="M417" i="3"/>
  <c r="M14" i="3"/>
  <c r="M81" i="3"/>
  <c r="M113" i="3"/>
  <c r="M177" i="3"/>
  <c r="M241" i="3"/>
  <c r="M305" i="3"/>
  <c r="M369" i="3"/>
  <c r="M57" i="3"/>
  <c r="M121" i="3"/>
  <c r="M185" i="3"/>
  <c r="M249" i="3"/>
  <c r="M313" i="3"/>
  <c r="M377" i="3"/>
  <c r="T269" i="3"/>
  <c r="AC269" i="3" s="1"/>
  <c r="T125" i="3"/>
  <c r="AC125" i="3" s="1"/>
  <c r="T61" i="3"/>
  <c r="AC61" i="3" s="1"/>
  <c r="T420" i="3"/>
  <c r="AC420" i="3" s="1"/>
  <c r="T356" i="3"/>
  <c r="AC356" i="3" s="1"/>
  <c r="T253" i="3"/>
  <c r="AC253" i="3" s="1"/>
  <c r="T329" i="3"/>
  <c r="AC329" i="3" s="1"/>
  <c r="T430" i="3"/>
  <c r="AC430" i="3" s="1"/>
  <c r="T366" i="3"/>
  <c r="AC366" i="3" s="1"/>
  <c r="T276" i="3"/>
  <c r="AC276" i="3" s="1"/>
  <c r="T212" i="3"/>
  <c r="AC212" i="3" s="1"/>
  <c r="T148" i="3"/>
  <c r="AC148" i="3" s="1"/>
  <c r="T20" i="3"/>
  <c r="AC20" i="3" s="1"/>
  <c r="T259" i="3"/>
  <c r="AC259" i="3" s="1"/>
  <c r="T195" i="3"/>
  <c r="AC195" i="3" s="1"/>
  <c r="T131" i="3"/>
  <c r="AC131" i="3" s="1"/>
  <c r="T67" i="3"/>
  <c r="AC67" i="3" s="1"/>
  <c r="T242" i="3"/>
  <c r="AC242" i="3" s="1"/>
  <c r="T178" i="3"/>
  <c r="AC178" i="3" s="1"/>
  <c r="T114" i="3"/>
  <c r="AC114" i="3" s="1"/>
  <c r="T50" i="3"/>
  <c r="AC50" i="3" s="1"/>
  <c r="T377" i="3"/>
  <c r="AC377" i="3" s="1"/>
  <c r="T217" i="3"/>
  <c r="AC217" i="3" s="1"/>
  <c r="T105" i="3"/>
  <c r="AC105" i="3" s="1"/>
  <c r="T400" i="3"/>
  <c r="AC400" i="3" s="1"/>
  <c r="T401" i="3"/>
  <c r="AC401" i="3" s="1"/>
  <c r="T181" i="3"/>
  <c r="AC181" i="3" s="1"/>
  <c r="T387" i="3"/>
  <c r="AC387" i="3" s="1"/>
  <c r="T323" i="3"/>
  <c r="AC323" i="3" s="1"/>
  <c r="T261" i="3"/>
  <c r="AC261" i="3" s="1"/>
  <c r="T410" i="3"/>
  <c r="AC410" i="3" s="1"/>
  <c r="T346" i="3"/>
  <c r="AC346" i="3" s="1"/>
  <c r="T320" i="3"/>
  <c r="AC320" i="3" s="1"/>
  <c r="T256" i="3"/>
  <c r="AC256" i="3" s="1"/>
  <c r="T192" i="3"/>
  <c r="AC192" i="3" s="1"/>
  <c r="T128" i="3"/>
  <c r="AC128" i="3" s="1"/>
  <c r="T64" i="3"/>
  <c r="AC64" i="3" s="1"/>
  <c r="T303" i="3"/>
  <c r="AC303" i="3" s="1"/>
  <c r="T239" i="3"/>
  <c r="AC239" i="3" s="1"/>
  <c r="T175" i="3"/>
  <c r="AC175" i="3" s="1"/>
  <c r="T111" i="3"/>
  <c r="AC111" i="3" s="1"/>
  <c r="T47" i="3"/>
  <c r="AC47" i="3" s="1"/>
  <c r="T286" i="3"/>
  <c r="AC286" i="3" s="1"/>
  <c r="T158" i="3"/>
  <c r="AC158" i="3" s="1"/>
  <c r="T94" i="3"/>
  <c r="AC94" i="3" s="1"/>
  <c r="T325" i="3"/>
  <c r="AC325" i="3" s="1"/>
  <c r="T169" i="3"/>
  <c r="AC169" i="3" s="1"/>
  <c r="T85" i="3"/>
  <c r="AC85" i="3" s="1"/>
  <c r="T380" i="3"/>
  <c r="AC380" i="3" s="1"/>
  <c r="T431" i="3"/>
  <c r="AC431" i="3" s="1"/>
  <c r="T193" i="3"/>
  <c r="AC193" i="3" s="1"/>
  <c r="T390" i="3"/>
  <c r="AC390" i="3" s="1"/>
  <c r="T326" i="3"/>
  <c r="AC326" i="3" s="1"/>
  <c r="T300" i="3"/>
  <c r="AC300" i="3" s="1"/>
  <c r="T172" i="3"/>
  <c r="AC172" i="3" s="1"/>
  <c r="T108" i="3"/>
  <c r="AC108" i="3" s="1"/>
  <c r="T283" i="3"/>
  <c r="AC283" i="3" s="1"/>
  <c r="T155" i="3"/>
  <c r="AC155" i="3" s="1"/>
  <c r="T91" i="3"/>
  <c r="AC91" i="3" s="1"/>
  <c r="T266" i="3"/>
  <c r="AC266" i="3" s="1"/>
  <c r="T138" i="3"/>
  <c r="AC138" i="3" s="1"/>
  <c r="T74" i="3"/>
  <c r="AC74" i="3" s="1"/>
  <c r="T10" i="3"/>
  <c r="AC10" i="3" s="1"/>
  <c r="T241" i="3"/>
  <c r="AC241" i="3" s="1"/>
  <c r="T189" i="3"/>
  <c r="AC189" i="3" s="1"/>
  <c r="T137" i="3"/>
  <c r="AC137" i="3" s="1"/>
  <c r="T311" i="3"/>
  <c r="AC311" i="3" s="1"/>
  <c r="T398" i="3"/>
  <c r="AC398" i="3" s="1"/>
  <c r="T180" i="3"/>
  <c r="AC180" i="3" s="1"/>
  <c r="T52" i="3"/>
  <c r="AC52" i="3" s="1"/>
  <c r="T291" i="3"/>
  <c r="AC291" i="3" s="1"/>
  <c r="T99" i="3"/>
  <c r="AC99" i="3" s="1"/>
  <c r="T146" i="3"/>
  <c r="AC146" i="3" s="1"/>
  <c r="T82" i="3"/>
  <c r="AC82" i="3" s="1"/>
  <c r="T145" i="3"/>
  <c r="AC145" i="3" s="1"/>
  <c r="T4" i="3"/>
  <c r="AC4" i="3" s="1"/>
  <c r="T293" i="3"/>
  <c r="AC293" i="3" s="1"/>
  <c r="T157" i="3"/>
  <c r="AC157" i="3" s="1"/>
  <c r="T288" i="3"/>
  <c r="AC288" i="3" s="1"/>
  <c r="T79" i="3"/>
  <c r="AC79" i="3" s="1"/>
  <c r="T190" i="3"/>
  <c r="AC190" i="3" s="1"/>
  <c r="T62" i="3"/>
  <c r="AC62" i="3" s="1"/>
  <c r="T249" i="3"/>
  <c r="AC249" i="3" s="1"/>
  <c r="T117" i="3"/>
  <c r="AC117" i="3" s="1"/>
  <c r="T348" i="3"/>
  <c r="AC348" i="3" s="1"/>
  <c r="T305" i="3"/>
  <c r="AC305" i="3" s="1"/>
  <c r="T358" i="3"/>
  <c r="AC358" i="3" s="1"/>
  <c r="T268" i="3"/>
  <c r="AC268" i="3" s="1"/>
  <c r="T140" i="3"/>
  <c r="AC140" i="3" s="1"/>
  <c r="T251" i="3"/>
  <c r="AC251" i="3" s="1"/>
  <c r="T123" i="3"/>
  <c r="AC123" i="3" s="1"/>
  <c r="T298" i="3"/>
  <c r="AC298" i="3" s="1"/>
  <c r="T389" i="3"/>
  <c r="AC389" i="3" s="1"/>
  <c r="T45" i="3"/>
  <c r="AC45" i="3" s="1"/>
  <c r="T404" i="3"/>
  <c r="AC404" i="3" s="1"/>
  <c r="T197" i="3"/>
  <c r="AC197" i="3" s="1"/>
  <c r="T391" i="3"/>
  <c r="AC391" i="3" s="1"/>
  <c r="T327" i="3"/>
  <c r="AC327" i="3" s="1"/>
  <c r="T273" i="3"/>
  <c r="AC273" i="3" s="1"/>
  <c r="T414" i="3"/>
  <c r="AC414" i="3" s="1"/>
  <c r="T350" i="3"/>
  <c r="AC350" i="3" s="1"/>
  <c r="T324" i="3"/>
  <c r="AC324" i="3" s="1"/>
  <c r="T260" i="3"/>
  <c r="AC260" i="3" s="1"/>
  <c r="T196" i="3"/>
  <c r="AC196" i="3" s="1"/>
  <c r="T132" i="3"/>
  <c r="AC132" i="3" s="1"/>
  <c r="T68" i="3"/>
  <c r="AC68" i="3" s="1"/>
  <c r="T243" i="3"/>
  <c r="AC243" i="3" s="1"/>
  <c r="T179" i="3"/>
  <c r="AC179" i="3" s="1"/>
  <c r="T115" i="3"/>
  <c r="AC115" i="3" s="1"/>
  <c r="T51" i="3"/>
  <c r="AC51" i="3" s="1"/>
  <c r="T290" i="3"/>
  <c r="AC290" i="3" s="1"/>
  <c r="T226" i="3"/>
  <c r="AC226" i="3" s="1"/>
  <c r="T162" i="3"/>
  <c r="AC162" i="3" s="1"/>
  <c r="T98" i="3"/>
  <c r="AC98" i="3" s="1"/>
  <c r="T337" i="3"/>
  <c r="AC337" i="3" s="1"/>
  <c r="T177" i="3"/>
  <c r="AC177" i="3" s="1"/>
  <c r="T89" i="3"/>
  <c r="AC89" i="3" s="1"/>
  <c r="T384" i="3"/>
  <c r="AC384" i="3" s="1"/>
  <c r="T341" i="3"/>
  <c r="AC341" i="3" s="1"/>
  <c r="T17" i="3"/>
  <c r="AC17" i="3" s="1"/>
  <c r="T205" i="3"/>
  <c r="AC205" i="3" s="1"/>
  <c r="T394" i="3"/>
  <c r="AC394" i="3" s="1"/>
  <c r="T330" i="3"/>
  <c r="AC330" i="3" s="1"/>
  <c r="T304" i="3"/>
  <c r="AC304" i="3" s="1"/>
  <c r="T176" i="3"/>
  <c r="AC176" i="3" s="1"/>
  <c r="T112" i="3"/>
  <c r="AC112" i="3" s="1"/>
  <c r="T48" i="3"/>
  <c r="AC48" i="3" s="1"/>
  <c r="T287" i="3"/>
  <c r="AC287" i="3" s="1"/>
  <c r="T95" i="3"/>
  <c r="AC95" i="3" s="1"/>
  <c r="T270" i="3"/>
  <c r="AC270" i="3" s="1"/>
  <c r="T206" i="3"/>
  <c r="AC206" i="3" s="1"/>
  <c r="T78" i="3"/>
  <c r="AC78" i="3" s="1"/>
  <c r="T14" i="3"/>
  <c r="AC14" i="3" s="1"/>
  <c r="T285" i="3"/>
  <c r="AC285" i="3" s="1"/>
  <c r="T141" i="3"/>
  <c r="AC141" i="3" s="1"/>
  <c r="T69" i="3"/>
  <c r="AC69" i="3" s="1"/>
  <c r="T281" i="3"/>
  <c r="AC281" i="3" s="1"/>
  <c r="T415" i="3"/>
  <c r="AC415" i="3" s="1"/>
  <c r="T351" i="3"/>
  <c r="AC351" i="3" s="1"/>
  <c r="T361" i="3"/>
  <c r="AC361" i="3" s="1"/>
  <c r="T133" i="3"/>
  <c r="AC133" i="3" s="1"/>
  <c r="T310" i="3"/>
  <c r="AC310" i="3" s="1"/>
  <c r="T156" i="3"/>
  <c r="AC156" i="3" s="1"/>
  <c r="T92" i="3"/>
  <c r="AC92" i="3" s="1"/>
  <c r="T267" i="3"/>
  <c r="AC267" i="3" s="1"/>
  <c r="T203" i="3"/>
  <c r="AC203" i="3" s="1"/>
  <c r="T139" i="3"/>
  <c r="AC139" i="3" s="1"/>
  <c r="T75" i="3"/>
  <c r="AC75" i="3" s="1"/>
  <c r="T250" i="3"/>
  <c r="AC250" i="3" s="1"/>
  <c r="T186" i="3"/>
  <c r="AC186" i="3" s="1"/>
  <c r="T122" i="3"/>
  <c r="AC122" i="3" s="1"/>
  <c r="T58" i="3"/>
  <c r="AC58" i="3" s="1"/>
  <c r="T429" i="3"/>
  <c r="AC429" i="3" s="1"/>
  <c r="S235" i="3"/>
  <c r="S5" i="3"/>
  <c r="S398" i="3"/>
  <c r="S114" i="3"/>
  <c r="S337" i="3"/>
  <c r="S334" i="3"/>
  <c r="S198" i="3"/>
  <c r="S34" i="3"/>
  <c r="S413" i="3"/>
  <c r="S253" i="3"/>
  <c r="S85" i="3"/>
  <c r="S332" i="3"/>
  <c r="S88" i="3"/>
  <c r="S59" i="3"/>
  <c r="S302" i="3"/>
  <c r="S154" i="3"/>
  <c r="S377" i="3"/>
  <c r="S213" i="3"/>
  <c r="S49" i="3"/>
  <c r="S272" i="3"/>
  <c r="S32" i="3"/>
  <c r="S367" i="3"/>
  <c r="S270" i="3"/>
  <c r="S173" i="3"/>
  <c r="S208" i="3"/>
  <c r="S366" i="3"/>
  <c r="S238" i="3"/>
  <c r="S70" i="3"/>
  <c r="S293" i="3"/>
  <c r="S129" i="3"/>
  <c r="S384" i="3"/>
  <c r="S144" i="3"/>
  <c r="S43" i="3"/>
  <c r="S390" i="3"/>
  <c r="S262" i="3"/>
  <c r="S146" i="3"/>
  <c r="S22" i="3"/>
  <c r="S350" i="3"/>
  <c r="S218" i="3"/>
  <c r="S397" i="3"/>
  <c r="S273" i="3"/>
  <c r="S149" i="3"/>
  <c r="S29" i="3"/>
  <c r="S412" i="3"/>
  <c r="S240" i="3"/>
  <c r="S60" i="3"/>
  <c r="S347" i="3"/>
  <c r="S107" i="3"/>
  <c r="R188" i="3"/>
  <c r="S422" i="3"/>
  <c r="S326" i="3"/>
  <c r="S294" i="3"/>
  <c r="S186" i="3"/>
  <c r="S62" i="3"/>
  <c r="S414" i="3"/>
  <c r="S382" i="3"/>
  <c r="S318" i="3"/>
  <c r="S286" i="3"/>
  <c r="S254" i="3"/>
  <c r="S178" i="3"/>
  <c r="S134" i="3"/>
  <c r="S90" i="3"/>
  <c r="S54" i="3"/>
  <c r="S10" i="3"/>
  <c r="S429" i="3"/>
  <c r="S357" i="3"/>
  <c r="S317" i="3"/>
  <c r="S237" i="3"/>
  <c r="S193" i="3"/>
  <c r="S109" i="3"/>
  <c r="S65" i="3"/>
  <c r="S352" i="3"/>
  <c r="S304" i="3"/>
  <c r="S176" i="3"/>
  <c r="S112" i="3"/>
  <c r="S415" i="3"/>
  <c r="S267" i="3"/>
  <c r="S187" i="3"/>
  <c r="S11" i="3"/>
  <c r="S406" i="3"/>
  <c r="S374" i="3"/>
  <c r="S342" i="3"/>
  <c r="S310" i="3"/>
  <c r="S278" i="3"/>
  <c r="S246" i="3"/>
  <c r="S210" i="3"/>
  <c r="S166" i="3"/>
  <c r="S122" i="3"/>
  <c r="S82" i="3"/>
  <c r="S42" i="3"/>
  <c r="S421" i="3"/>
  <c r="S385" i="3"/>
  <c r="S349" i="3"/>
  <c r="S305" i="3"/>
  <c r="S261" i="3"/>
  <c r="S225" i="3"/>
  <c r="S181" i="3"/>
  <c r="S141" i="3"/>
  <c r="S97" i="3"/>
  <c r="S57" i="3"/>
  <c r="S17" i="3"/>
  <c r="S400" i="3"/>
  <c r="S340" i="3"/>
  <c r="S288" i="3"/>
  <c r="S224" i="3"/>
  <c r="S160" i="3"/>
  <c r="S96" i="3"/>
  <c r="S48" i="3"/>
  <c r="S399" i="3"/>
  <c r="S319" i="3"/>
  <c r="S251" i="3"/>
  <c r="S171" i="3"/>
  <c r="S75" i="3"/>
  <c r="S430" i="3"/>
  <c r="S358" i="3"/>
  <c r="S230" i="3"/>
  <c r="S102" i="3"/>
  <c r="S405" i="3"/>
  <c r="S369" i="3"/>
  <c r="S325" i="3"/>
  <c r="S285" i="3"/>
  <c r="S245" i="3"/>
  <c r="S205" i="3"/>
  <c r="S161" i="3"/>
  <c r="S117" i="3"/>
  <c r="S77" i="3"/>
  <c r="S37" i="3"/>
  <c r="S424" i="3"/>
  <c r="S368" i="3"/>
  <c r="S320" i="3"/>
  <c r="S256" i="3"/>
  <c r="S192" i="3"/>
  <c r="S128" i="3"/>
  <c r="S76" i="3"/>
  <c r="S16" i="3"/>
  <c r="S427" i="3"/>
  <c r="S359" i="3"/>
  <c r="S299" i="3"/>
  <c r="S203" i="3"/>
  <c r="S123" i="3"/>
  <c r="S383" i="3"/>
  <c r="S335" i="3"/>
  <c r="S283" i="3"/>
  <c r="S219" i="3"/>
  <c r="S155" i="3"/>
  <c r="S91" i="3"/>
  <c r="S27" i="3"/>
  <c r="P152" i="3"/>
  <c r="P187" i="3"/>
  <c r="S15" i="3"/>
  <c r="Q183" i="3"/>
  <c r="S426" i="3"/>
  <c r="S410" i="3"/>
  <c r="S394" i="3"/>
  <c r="S378" i="3"/>
  <c r="S362" i="3"/>
  <c r="S346" i="3"/>
  <c r="S330" i="3"/>
  <c r="S314" i="3"/>
  <c r="S298" i="3"/>
  <c r="S282" i="3"/>
  <c r="S266" i="3"/>
  <c r="S250" i="3"/>
  <c r="S234" i="3"/>
  <c r="S214" i="3"/>
  <c r="S194" i="3"/>
  <c r="S170" i="3"/>
  <c r="S150" i="3"/>
  <c r="S130" i="3"/>
  <c r="S106" i="3"/>
  <c r="S86" i="3"/>
  <c r="S66" i="3"/>
  <c r="S50" i="3"/>
  <c r="S26" i="3"/>
  <c r="S6" i="3"/>
  <c r="S417" i="3"/>
  <c r="S401" i="3"/>
  <c r="S381" i="3"/>
  <c r="S365" i="3"/>
  <c r="S341" i="3"/>
  <c r="S321" i="3"/>
  <c r="S301" i="3"/>
  <c r="S277" i="3"/>
  <c r="S257" i="3"/>
  <c r="S241" i="3"/>
  <c r="S221" i="3"/>
  <c r="S197" i="3"/>
  <c r="S177" i="3"/>
  <c r="S157" i="3"/>
  <c r="S133" i="3"/>
  <c r="S113" i="3"/>
  <c r="S93" i="3"/>
  <c r="S69" i="3"/>
  <c r="S53" i="3"/>
  <c r="S33" i="3"/>
  <c r="S13" i="3"/>
  <c r="S428" i="3"/>
  <c r="S408" i="3"/>
  <c r="S380" i="3"/>
  <c r="S348" i="3"/>
  <c r="S324" i="3"/>
  <c r="S300" i="3"/>
  <c r="S268" i="3"/>
  <c r="S236" i="3"/>
  <c r="S204" i="3"/>
  <c r="S172" i="3"/>
  <c r="S140" i="3"/>
  <c r="S108" i="3"/>
  <c r="S80" i="3"/>
  <c r="S52" i="3"/>
  <c r="S28" i="3"/>
  <c r="S419" i="3"/>
  <c r="S395" i="3"/>
  <c r="S363" i="3"/>
  <c r="S339" i="3"/>
  <c r="S315" i="3"/>
  <c r="S287" i="3"/>
  <c r="S255" i="3"/>
  <c r="S223" i="3"/>
  <c r="S191" i="3"/>
  <c r="S159" i="3"/>
  <c r="S127" i="3"/>
  <c r="S95" i="3"/>
  <c r="S63" i="3"/>
  <c r="S31" i="3"/>
  <c r="R306" i="3"/>
  <c r="S418" i="3"/>
  <c r="S402" i="3"/>
  <c r="S386" i="3"/>
  <c r="S370" i="3"/>
  <c r="S354" i="3"/>
  <c r="S338" i="3"/>
  <c r="S322" i="3"/>
  <c r="S306" i="3"/>
  <c r="S290" i="3"/>
  <c r="S274" i="3"/>
  <c r="S258" i="3"/>
  <c r="S242" i="3"/>
  <c r="S226" i="3"/>
  <c r="S202" i="3"/>
  <c r="S182" i="3"/>
  <c r="S162" i="3"/>
  <c r="S138" i="3"/>
  <c r="S118" i="3"/>
  <c r="S98" i="3"/>
  <c r="S74" i="3"/>
  <c r="S58" i="3"/>
  <c r="S38" i="3"/>
  <c r="S18" i="3"/>
  <c r="S425" i="3"/>
  <c r="S409" i="3"/>
  <c r="S389" i="3"/>
  <c r="S373" i="3"/>
  <c r="S353" i="3"/>
  <c r="S333" i="3"/>
  <c r="S309" i="3"/>
  <c r="S289" i="3"/>
  <c r="S269" i="3"/>
  <c r="S249" i="3"/>
  <c r="S229" i="3"/>
  <c r="S209" i="3"/>
  <c r="S189" i="3"/>
  <c r="S165" i="3"/>
  <c r="S145" i="3"/>
  <c r="S125" i="3"/>
  <c r="S101" i="3"/>
  <c r="S81" i="3"/>
  <c r="S61" i="3"/>
  <c r="S45" i="3"/>
  <c r="S21" i="3"/>
  <c r="S416" i="3"/>
  <c r="S396" i="3"/>
  <c r="S364" i="3"/>
  <c r="S336" i="3"/>
  <c r="S316" i="3"/>
  <c r="S284" i="3"/>
  <c r="S252" i="3"/>
  <c r="S220" i="3"/>
  <c r="S188" i="3"/>
  <c r="S156" i="3"/>
  <c r="S124" i="3"/>
  <c r="S92" i="3"/>
  <c r="S64" i="3"/>
  <c r="S44" i="3"/>
  <c r="S12" i="3"/>
  <c r="S431" i="3"/>
  <c r="S411" i="3"/>
  <c r="S379" i="3"/>
  <c r="S351" i="3"/>
  <c r="S331" i="3"/>
  <c r="S303" i="3"/>
  <c r="S271" i="3"/>
  <c r="S239" i="3"/>
  <c r="S207" i="3"/>
  <c r="S175" i="3"/>
  <c r="S143" i="3"/>
  <c r="S111" i="3"/>
  <c r="S79" i="3"/>
  <c r="S47" i="3"/>
  <c r="L434" i="3"/>
  <c r="L438" i="3"/>
  <c r="L435" i="3"/>
  <c r="L437" i="3"/>
  <c r="U110" i="3" s="1"/>
  <c r="L436" i="3"/>
  <c r="N369" i="3"/>
  <c r="N392" i="3"/>
  <c r="P165" i="3"/>
  <c r="P190" i="3"/>
  <c r="S222" i="3"/>
  <c r="S206" i="3"/>
  <c r="S190" i="3"/>
  <c r="S174" i="3"/>
  <c r="S158" i="3"/>
  <c r="S142" i="3"/>
  <c r="S126" i="3"/>
  <c r="S110" i="3"/>
  <c r="S94" i="3"/>
  <c r="S78" i="3"/>
  <c r="S46" i="3"/>
  <c r="S30" i="3"/>
  <c r="S14" i="3"/>
  <c r="S393" i="3"/>
  <c r="S361" i="3"/>
  <c r="S345" i="3"/>
  <c r="S329" i="3"/>
  <c r="S313" i="3"/>
  <c r="S297" i="3"/>
  <c r="S281" i="3"/>
  <c r="S265" i="3"/>
  <c r="S233" i="3"/>
  <c r="S217" i="3"/>
  <c r="S201" i="3"/>
  <c r="S185" i="3"/>
  <c r="S169" i="3"/>
  <c r="S153" i="3"/>
  <c r="S137" i="3"/>
  <c r="S121" i="3"/>
  <c r="S105" i="3"/>
  <c r="S89" i="3"/>
  <c r="S73" i="3"/>
  <c r="S41" i="3"/>
  <c r="S25" i="3"/>
  <c r="S9" i="3"/>
  <c r="S392" i="3"/>
  <c r="S376" i="3"/>
  <c r="S360" i="3"/>
  <c r="S344" i="3"/>
  <c r="S328" i="3"/>
  <c r="S312" i="3"/>
  <c r="S296" i="3"/>
  <c r="S280" i="3"/>
  <c r="S264" i="3"/>
  <c r="S248" i="3"/>
  <c r="S232" i="3"/>
  <c r="S216" i="3"/>
  <c r="S200" i="3"/>
  <c r="S184" i="3"/>
  <c r="S168" i="3"/>
  <c r="S152" i="3"/>
  <c r="S136" i="3"/>
  <c r="S120" i="3"/>
  <c r="S104" i="3"/>
  <c r="S72" i="3"/>
  <c r="S56" i="3"/>
  <c r="S40" i="3"/>
  <c r="S24" i="3"/>
  <c r="S8" i="3"/>
  <c r="S423" i="3"/>
  <c r="S407" i="3"/>
  <c r="S391" i="3"/>
  <c r="S375" i="3"/>
  <c r="S343" i="3"/>
  <c r="S327" i="3"/>
  <c r="S311" i="3"/>
  <c r="S295" i="3"/>
  <c r="S279" i="3"/>
  <c r="S263" i="3"/>
  <c r="S247" i="3"/>
  <c r="S231" i="3"/>
  <c r="S215" i="3"/>
  <c r="S199" i="3"/>
  <c r="S183" i="3"/>
  <c r="S167" i="3"/>
  <c r="S151" i="3"/>
  <c r="S135" i="3"/>
  <c r="S119" i="3"/>
  <c r="S103" i="3"/>
  <c r="S87" i="3"/>
  <c r="S71" i="3"/>
  <c r="S55" i="3"/>
  <c r="S39" i="3"/>
  <c r="S23" i="3"/>
  <c r="S7" i="3"/>
  <c r="S420" i="3"/>
  <c r="S404" i="3"/>
  <c r="S388" i="3"/>
  <c r="S372" i="3"/>
  <c r="S356" i="3"/>
  <c r="S308" i="3"/>
  <c r="S292" i="3"/>
  <c r="S276" i="3"/>
  <c r="S260" i="3"/>
  <c r="S244" i="3"/>
  <c r="S228" i="3"/>
  <c r="S212" i="3"/>
  <c r="S196" i="3"/>
  <c r="S180" i="3"/>
  <c r="S164" i="3"/>
  <c r="S148" i="3"/>
  <c r="S132" i="3"/>
  <c r="S116" i="3"/>
  <c r="S100" i="3"/>
  <c r="S84" i="3"/>
  <c r="S68" i="3"/>
  <c r="S36" i="3"/>
  <c r="S20" i="3"/>
  <c r="S4" i="3"/>
  <c r="S403" i="3"/>
  <c r="S387" i="3"/>
  <c r="S371" i="3"/>
  <c r="S355" i="3"/>
  <c r="S323" i="3"/>
  <c r="S291" i="3"/>
  <c r="S275" i="3"/>
  <c r="S259" i="3"/>
  <c r="S243" i="3"/>
  <c r="S227" i="3"/>
  <c r="S211" i="3"/>
  <c r="S195" i="3"/>
  <c r="S179" i="3"/>
  <c r="S163" i="3"/>
  <c r="S147" i="3"/>
  <c r="S131" i="3"/>
  <c r="S115" i="3"/>
  <c r="S99" i="3"/>
  <c r="S83" i="3"/>
  <c r="S67" i="3"/>
  <c r="S51" i="3"/>
  <c r="S35" i="3"/>
  <c r="S19" i="3"/>
  <c r="P60" i="3"/>
  <c r="P242" i="3"/>
  <c r="P324" i="3"/>
  <c r="P359" i="3"/>
  <c r="P19" i="3"/>
  <c r="P237" i="3"/>
  <c r="P103" i="3"/>
  <c r="P364" i="3"/>
  <c r="P338" i="3"/>
  <c r="P393" i="3"/>
  <c r="P408" i="3"/>
  <c r="P68" i="3"/>
  <c r="P275" i="3"/>
  <c r="P16" i="3"/>
  <c r="P337" i="3"/>
  <c r="P422" i="3"/>
  <c r="P250" i="3"/>
  <c r="P81" i="3"/>
  <c r="P281" i="3"/>
  <c r="P53" i="3"/>
  <c r="P124" i="3"/>
  <c r="P280" i="3"/>
  <c r="P109" i="3"/>
  <c r="P315" i="3"/>
  <c r="P147" i="3"/>
  <c r="P98" i="3"/>
  <c r="P272" i="3"/>
  <c r="P378" i="3"/>
  <c r="P209" i="3"/>
  <c r="P38" i="3"/>
  <c r="P223" i="3"/>
  <c r="P258" i="3"/>
  <c r="P365" i="3"/>
  <c r="P196" i="3"/>
  <c r="P24" i="3"/>
  <c r="P403" i="3"/>
  <c r="P231" i="3"/>
  <c r="P59" i="3"/>
  <c r="P108" i="3"/>
  <c r="P294" i="3"/>
  <c r="P122" i="3"/>
  <c r="P335" i="3"/>
  <c r="P111" i="3"/>
  <c r="P284" i="3"/>
  <c r="O278" i="3"/>
  <c r="P388" i="3"/>
  <c r="P301" i="3"/>
  <c r="P216" i="3"/>
  <c r="P132" i="3"/>
  <c r="P45" i="3"/>
  <c r="P379" i="3"/>
  <c r="P295" i="3"/>
  <c r="P211" i="3"/>
  <c r="P123" i="3"/>
  <c r="P39" i="3"/>
  <c r="P318" i="3"/>
  <c r="P144" i="3"/>
  <c r="P401" i="3"/>
  <c r="P314" i="3"/>
  <c r="P230" i="3"/>
  <c r="P145" i="3"/>
  <c r="P58" i="3"/>
  <c r="P18" i="3"/>
  <c r="P421" i="3"/>
  <c r="P309" i="3"/>
  <c r="P197" i="3"/>
  <c r="P79" i="3"/>
  <c r="P206" i="3"/>
  <c r="P344" i="3"/>
  <c r="P260" i="3"/>
  <c r="P173" i="3"/>
  <c r="P88" i="3"/>
  <c r="P4" i="3"/>
  <c r="P423" i="3"/>
  <c r="P339" i="3"/>
  <c r="P251" i="3"/>
  <c r="P167" i="3"/>
  <c r="P83" i="3"/>
  <c r="P354" i="3"/>
  <c r="P400" i="3"/>
  <c r="P236" i="3"/>
  <c r="P62" i="3"/>
  <c r="P358" i="3"/>
  <c r="P273" i="3"/>
  <c r="P186" i="3"/>
  <c r="P102" i="3"/>
  <c r="P17" i="3"/>
  <c r="P367" i="3"/>
  <c r="P249" i="3"/>
  <c r="P137" i="3"/>
  <c r="P25" i="3"/>
  <c r="P352" i="3"/>
  <c r="P14" i="3"/>
  <c r="O204" i="3"/>
  <c r="P420" i="3"/>
  <c r="P376" i="3"/>
  <c r="P333" i="3"/>
  <c r="P292" i="3"/>
  <c r="P248" i="3"/>
  <c r="P205" i="3"/>
  <c r="P164" i="3"/>
  <c r="P120" i="3"/>
  <c r="P77" i="3"/>
  <c r="P36" i="3"/>
  <c r="P370" i="3"/>
  <c r="P391" i="3"/>
  <c r="P347" i="3"/>
  <c r="P307" i="3"/>
  <c r="P263" i="3"/>
  <c r="P219" i="3"/>
  <c r="P179" i="3"/>
  <c r="P135" i="3"/>
  <c r="P91" i="3"/>
  <c r="P51" i="3"/>
  <c r="P7" i="3"/>
  <c r="P382" i="3"/>
  <c r="P300" i="3"/>
  <c r="P208" i="3"/>
  <c r="P126" i="3"/>
  <c r="P44" i="3"/>
  <c r="P390" i="3"/>
  <c r="P346" i="3"/>
  <c r="P305" i="3"/>
  <c r="P262" i="3"/>
  <c r="P218" i="3"/>
  <c r="P177" i="3"/>
  <c r="P134" i="3"/>
  <c r="P90" i="3"/>
  <c r="P49" i="3"/>
  <c r="P6" i="3"/>
  <c r="P409" i="3"/>
  <c r="P351" i="3"/>
  <c r="P293" i="3"/>
  <c r="P239" i="3"/>
  <c r="P181" i="3"/>
  <c r="P121" i="3"/>
  <c r="P69" i="3"/>
  <c r="P9" i="3"/>
  <c r="P398" i="3"/>
  <c r="P238" i="3"/>
  <c r="P96" i="3"/>
  <c r="R50" i="3"/>
  <c r="N217" i="3"/>
  <c r="P397" i="3"/>
  <c r="P356" i="3"/>
  <c r="P312" i="3"/>
  <c r="P269" i="3"/>
  <c r="P228" i="3"/>
  <c r="P184" i="3"/>
  <c r="P141" i="3"/>
  <c r="P100" i="3"/>
  <c r="P56" i="3"/>
  <c r="P13" i="3"/>
  <c r="P114" i="3"/>
  <c r="P411" i="3"/>
  <c r="P371" i="3"/>
  <c r="P327" i="3"/>
  <c r="P283" i="3"/>
  <c r="P243" i="3"/>
  <c r="P199" i="3"/>
  <c r="P155" i="3"/>
  <c r="P115" i="3"/>
  <c r="P71" i="3"/>
  <c r="P27" i="3"/>
  <c r="P226" i="3"/>
  <c r="P428" i="3"/>
  <c r="P336" i="3"/>
  <c r="P254" i="3"/>
  <c r="P172" i="3"/>
  <c r="P80" i="3"/>
  <c r="P410" i="3"/>
  <c r="P369" i="3"/>
  <c r="P326" i="3"/>
  <c r="P282" i="3"/>
  <c r="P241" i="3"/>
  <c r="P198" i="3"/>
  <c r="P154" i="3"/>
  <c r="P113" i="3"/>
  <c r="P70" i="3"/>
  <c r="P26" i="3"/>
  <c r="P146" i="3"/>
  <c r="P377" i="3"/>
  <c r="P325" i="3"/>
  <c r="P265" i="3"/>
  <c r="P207" i="3"/>
  <c r="P153" i="3"/>
  <c r="P95" i="3"/>
  <c r="P37" i="3"/>
  <c r="P320" i="3"/>
  <c r="P160" i="3"/>
  <c r="N156" i="3"/>
  <c r="Q212" i="3"/>
  <c r="O364" i="3"/>
  <c r="O83" i="3"/>
  <c r="R386" i="3"/>
  <c r="R401" i="3"/>
  <c r="R355" i="3"/>
  <c r="N138" i="3"/>
  <c r="N67" i="3"/>
  <c r="N420" i="3"/>
  <c r="R76" i="3"/>
  <c r="N87" i="3"/>
  <c r="N37" i="3"/>
  <c r="N180" i="3"/>
  <c r="N47" i="3"/>
  <c r="N299" i="3"/>
  <c r="O108" i="3"/>
  <c r="O233" i="3"/>
  <c r="O12" i="3"/>
  <c r="O353" i="3"/>
  <c r="Q247" i="3"/>
  <c r="O158" i="3"/>
  <c r="Q149" i="3"/>
  <c r="P429" i="3"/>
  <c r="O332" i="3"/>
  <c r="Q60" i="3"/>
  <c r="Q424" i="3"/>
  <c r="O296" i="3"/>
  <c r="O424" i="3"/>
  <c r="O236" i="3"/>
  <c r="Q362" i="3"/>
  <c r="O217" i="3"/>
  <c r="Q55" i="3"/>
  <c r="Q126" i="3"/>
  <c r="Q114" i="3"/>
  <c r="O165" i="3"/>
  <c r="O396" i="3"/>
  <c r="O300" i="3"/>
  <c r="O232" i="3"/>
  <c r="O76" i="3"/>
  <c r="P413" i="3"/>
  <c r="P392" i="3"/>
  <c r="P372" i="3"/>
  <c r="P349" i="3"/>
  <c r="P328" i="3"/>
  <c r="P308" i="3"/>
  <c r="P285" i="3"/>
  <c r="P264" i="3"/>
  <c r="P244" i="3"/>
  <c r="P221" i="3"/>
  <c r="P200" i="3"/>
  <c r="P180" i="3"/>
  <c r="P157" i="3"/>
  <c r="P136" i="3"/>
  <c r="P116" i="3"/>
  <c r="P93" i="3"/>
  <c r="P72" i="3"/>
  <c r="P52" i="3"/>
  <c r="P29" i="3"/>
  <c r="P8" i="3"/>
  <c r="Q272" i="3"/>
  <c r="Q12" i="3"/>
  <c r="P178" i="3"/>
  <c r="O401" i="3"/>
  <c r="O181" i="3"/>
  <c r="P427" i="3"/>
  <c r="P407" i="3"/>
  <c r="P387" i="3"/>
  <c r="P363" i="3"/>
  <c r="P343" i="3"/>
  <c r="P323" i="3"/>
  <c r="P299" i="3"/>
  <c r="P279" i="3"/>
  <c r="P259" i="3"/>
  <c r="P235" i="3"/>
  <c r="P215" i="3"/>
  <c r="P195" i="3"/>
  <c r="P171" i="3"/>
  <c r="P151" i="3"/>
  <c r="P131" i="3"/>
  <c r="P107" i="3"/>
  <c r="P87" i="3"/>
  <c r="P67" i="3"/>
  <c r="P43" i="3"/>
  <c r="P23" i="3"/>
  <c r="Q311" i="3"/>
  <c r="P418" i="3"/>
  <c r="P162" i="3"/>
  <c r="P414" i="3"/>
  <c r="P368" i="3"/>
  <c r="P332" i="3"/>
  <c r="P286" i="3"/>
  <c r="P240" i="3"/>
  <c r="P204" i="3"/>
  <c r="P158" i="3"/>
  <c r="P112" i="3"/>
  <c r="P76" i="3"/>
  <c r="P30" i="3"/>
  <c r="P426" i="3"/>
  <c r="P406" i="3"/>
  <c r="P385" i="3"/>
  <c r="P362" i="3"/>
  <c r="P342" i="3"/>
  <c r="P321" i="3"/>
  <c r="P298" i="3"/>
  <c r="P278" i="3"/>
  <c r="P257" i="3"/>
  <c r="P234" i="3"/>
  <c r="P214" i="3"/>
  <c r="P193" i="3"/>
  <c r="P170" i="3"/>
  <c r="P150" i="3"/>
  <c r="P129" i="3"/>
  <c r="P106" i="3"/>
  <c r="P86" i="3"/>
  <c r="P65" i="3"/>
  <c r="P42" i="3"/>
  <c r="P22" i="3"/>
  <c r="Q262" i="3"/>
  <c r="P274" i="3"/>
  <c r="O387" i="3"/>
  <c r="P415" i="3"/>
  <c r="P389" i="3"/>
  <c r="P357" i="3"/>
  <c r="P329" i="3"/>
  <c r="P303" i="3"/>
  <c r="P271" i="3"/>
  <c r="P245" i="3"/>
  <c r="P217" i="3"/>
  <c r="P185" i="3"/>
  <c r="P159" i="3"/>
  <c r="P133" i="3"/>
  <c r="P101" i="3"/>
  <c r="P73" i="3"/>
  <c r="P47" i="3"/>
  <c r="P15" i="3"/>
  <c r="P386" i="3"/>
  <c r="P380" i="3"/>
  <c r="P288" i="3"/>
  <c r="P224" i="3"/>
  <c r="P156" i="3"/>
  <c r="P64" i="3"/>
  <c r="N100" i="3"/>
  <c r="F439" i="3"/>
  <c r="O428" i="3"/>
  <c r="O360" i="3"/>
  <c r="O268" i="3"/>
  <c r="O140" i="3"/>
  <c r="P424" i="3"/>
  <c r="P404" i="3"/>
  <c r="P381" i="3"/>
  <c r="P360" i="3"/>
  <c r="P340" i="3"/>
  <c r="P317" i="3"/>
  <c r="P296" i="3"/>
  <c r="P276" i="3"/>
  <c r="P253" i="3"/>
  <c r="P232" i="3"/>
  <c r="P212" i="3"/>
  <c r="P189" i="3"/>
  <c r="P168" i="3"/>
  <c r="P148" i="3"/>
  <c r="P125" i="3"/>
  <c r="P104" i="3"/>
  <c r="P84" i="3"/>
  <c r="P61" i="3"/>
  <c r="P40" i="3"/>
  <c r="P20" i="3"/>
  <c r="Q404" i="3"/>
  <c r="Q148" i="3"/>
  <c r="P306" i="3"/>
  <c r="P50" i="3"/>
  <c r="O269" i="3"/>
  <c r="O45" i="3"/>
  <c r="P419" i="3"/>
  <c r="P395" i="3"/>
  <c r="P375" i="3"/>
  <c r="P355" i="3"/>
  <c r="P331" i="3"/>
  <c r="P311" i="3"/>
  <c r="P291" i="3"/>
  <c r="P267" i="3"/>
  <c r="P247" i="3"/>
  <c r="P227" i="3"/>
  <c r="P203" i="3"/>
  <c r="P183" i="3"/>
  <c r="P163" i="3"/>
  <c r="P139" i="3"/>
  <c r="P119" i="3"/>
  <c r="P99" i="3"/>
  <c r="P75" i="3"/>
  <c r="P55" i="3"/>
  <c r="P35" i="3"/>
  <c r="P11" i="3"/>
  <c r="P290" i="3"/>
  <c r="P34" i="3"/>
  <c r="P396" i="3"/>
  <c r="P350" i="3"/>
  <c r="P304" i="3"/>
  <c r="P268" i="3"/>
  <c r="P222" i="3"/>
  <c r="P176" i="3"/>
  <c r="P140" i="3"/>
  <c r="P94" i="3"/>
  <c r="P48" i="3"/>
  <c r="P12" i="3"/>
  <c r="P417" i="3"/>
  <c r="P394" i="3"/>
  <c r="P374" i="3"/>
  <c r="P353" i="3"/>
  <c r="P330" i="3"/>
  <c r="P310" i="3"/>
  <c r="P289" i="3"/>
  <c r="P266" i="3"/>
  <c r="P246" i="3"/>
  <c r="P225" i="3"/>
  <c r="P202" i="3"/>
  <c r="P182" i="3"/>
  <c r="P161" i="3"/>
  <c r="P138" i="3"/>
  <c r="P118" i="3"/>
  <c r="P97" i="3"/>
  <c r="P74" i="3"/>
  <c r="P54" i="3"/>
  <c r="P33" i="3"/>
  <c r="P10" i="3"/>
  <c r="P402" i="3"/>
  <c r="P82" i="3"/>
  <c r="P431" i="3"/>
  <c r="P399" i="3"/>
  <c r="P373" i="3"/>
  <c r="P345" i="3"/>
  <c r="P313" i="3"/>
  <c r="P287" i="3"/>
  <c r="P261" i="3"/>
  <c r="P229" i="3"/>
  <c r="P201" i="3"/>
  <c r="P175" i="3"/>
  <c r="P143" i="3"/>
  <c r="P117" i="3"/>
  <c r="P89" i="3"/>
  <c r="P57" i="3"/>
  <c r="P31" i="3"/>
  <c r="P5" i="3"/>
  <c r="P130" i="3"/>
  <c r="P412" i="3"/>
  <c r="P334" i="3"/>
  <c r="P270" i="3"/>
  <c r="P188" i="3"/>
  <c r="P110" i="3"/>
  <c r="P32" i="3"/>
  <c r="O95" i="3"/>
  <c r="O211" i="3"/>
  <c r="O347" i="3"/>
  <c r="O6" i="3"/>
  <c r="O66" i="3"/>
  <c r="O114" i="3"/>
  <c r="O174" i="3"/>
  <c r="O238" i="3"/>
  <c r="O286" i="3"/>
  <c r="O342" i="3"/>
  <c r="O394" i="3"/>
  <c r="O430" i="3"/>
  <c r="O329" i="3"/>
  <c r="O119" i="3"/>
  <c r="O253" i="3"/>
  <c r="O363" i="3"/>
  <c r="O22" i="3"/>
  <c r="O70" i="3"/>
  <c r="O130" i="3"/>
  <c r="O194" i="3"/>
  <c r="O242" i="3"/>
  <c r="O302" i="3"/>
  <c r="O362" i="3"/>
  <c r="O398" i="3"/>
  <c r="O73" i="3"/>
  <c r="O29" i="3"/>
  <c r="O61" i="3"/>
  <c r="O97" i="3"/>
  <c r="O129" i="3"/>
  <c r="O163" i="3"/>
  <c r="O197" i="3"/>
  <c r="O229" i="3"/>
  <c r="O263" i="3"/>
  <c r="O297" i="3"/>
  <c r="O331" i="3"/>
  <c r="O365" i="3"/>
  <c r="O397" i="3"/>
  <c r="O183" i="3"/>
  <c r="O86" i="3"/>
  <c r="O198" i="3"/>
  <c r="O322" i="3"/>
  <c r="O410" i="3"/>
  <c r="O13" i="3"/>
  <c r="O49" i="3"/>
  <c r="O101" i="3"/>
  <c r="O145" i="3"/>
  <c r="O185" i="3"/>
  <c r="O235" i="3"/>
  <c r="O281" i="3"/>
  <c r="O317" i="3"/>
  <c r="O369" i="3"/>
  <c r="O415" i="3"/>
  <c r="O24" i="3"/>
  <c r="O56" i="3"/>
  <c r="O88" i="3"/>
  <c r="O120" i="3"/>
  <c r="O152" i="3"/>
  <c r="O184" i="3"/>
  <c r="O216" i="3"/>
  <c r="O248" i="3"/>
  <c r="O280" i="3"/>
  <c r="O312" i="3"/>
  <c r="O344" i="3"/>
  <c r="O376" i="3"/>
  <c r="O408" i="3"/>
  <c r="O77" i="3"/>
  <c r="O299" i="3"/>
  <c r="O150" i="3"/>
  <c r="O167" i="3"/>
  <c r="O301" i="3"/>
  <c r="O104" i="3"/>
  <c r="O168" i="3"/>
  <c r="O31" i="3"/>
  <c r="O271" i="3"/>
  <c r="O345" i="3"/>
  <c r="O110" i="3"/>
  <c r="O214" i="3"/>
  <c r="O326" i="3"/>
  <c r="O426" i="3"/>
  <c r="O17" i="3"/>
  <c r="O65" i="3"/>
  <c r="O113" i="3"/>
  <c r="O149" i="3"/>
  <c r="O201" i="3"/>
  <c r="O247" i="3"/>
  <c r="O285" i="3"/>
  <c r="O335" i="3"/>
  <c r="O381" i="3"/>
  <c r="O419" i="3"/>
  <c r="O89" i="3"/>
  <c r="O28" i="3"/>
  <c r="O60" i="3"/>
  <c r="O92" i="3"/>
  <c r="O124" i="3"/>
  <c r="O156" i="3"/>
  <c r="O188" i="3"/>
  <c r="O220" i="3"/>
  <c r="O252" i="3"/>
  <c r="O284" i="3"/>
  <c r="O316" i="3"/>
  <c r="O348" i="3"/>
  <c r="O380" i="3"/>
  <c r="O412" i="3"/>
  <c r="O30" i="3"/>
  <c r="O258" i="3"/>
  <c r="O366" i="3"/>
  <c r="O33" i="3"/>
  <c r="O79" i="3"/>
  <c r="O117" i="3"/>
  <c r="O213" i="3"/>
  <c r="O251" i="3"/>
  <c r="O349" i="3"/>
  <c r="O385" i="3"/>
  <c r="O8" i="3"/>
  <c r="O40" i="3"/>
  <c r="O72" i="3"/>
  <c r="O136" i="3"/>
  <c r="O200" i="3"/>
  <c r="Q302" i="3"/>
  <c r="Q65" i="3"/>
  <c r="Q185" i="3"/>
  <c r="Q313" i="3"/>
  <c r="Q312" i="3"/>
  <c r="Q10" i="3"/>
  <c r="Q62" i="3"/>
  <c r="Q124" i="3"/>
  <c r="Q198" i="3"/>
  <c r="Q274" i="3"/>
  <c r="Q338" i="3"/>
  <c r="Q396" i="3"/>
  <c r="Q158" i="3"/>
  <c r="Q414" i="3"/>
  <c r="Q7" i="3"/>
  <c r="Q39" i="3"/>
  <c r="Q71" i="3"/>
  <c r="Q103" i="3"/>
  <c r="Q135" i="3"/>
  <c r="Q167" i="3"/>
  <c r="Q199" i="3"/>
  <c r="Q231" i="3"/>
  <c r="Q263" i="3"/>
  <c r="Q295" i="3"/>
  <c r="Q327" i="3"/>
  <c r="Q359" i="3"/>
  <c r="Q391" i="3"/>
  <c r="Q423" i="3"/>
  <c r="Q366" i="3"/>
  <c r="Q17" i="3"/>
  <c r="Q101" i="3"/>
  <c r="Q193" i="3"/>
  <c r="Q357" i="3"/>
  <c r="Q376" i="3"/>
  <c r="Q30" i="3"/>
  <c r="Q82" i="3"/>
  <c r="Q150" i="3"/>
  <c r="Q230" i="3"/>
  <c r="Q300" i="3"/>
  <c r="Q358" i="3"/>
  <c r="Q418" i="3"/>
  <c r="Q254" i="3"/>
  <c r="Q19" i="3"/>
  <c r="Q51" i="3"/>
  <c r="Q83" i="3"/>
  <c r="Q115" i="3"/>
  <c r="Q147" i="3"/>
  <c r="Q179" i="3"/>
  <c r="Q211" i="3"/>
  <c r="Q243" i="3"/>
  <c r="Q275" i="3"/>
  <c r="Q307" i="3"/>
  <c r="Q339" i="3"/>
  <c r="Q371" i="3"/>
  <c r="Q403" i="3"/>
  <c r="Q200" i="3"/>
  <c r="Q24" i="3"/>
  <c r="Q56" i="3"/>
  <c r="Q88" i="3"/>
  <c r="Q122" i="3"/>
  <c r="Q164" i="3"/>
  <c r="Q208" i="3"/>
  <c r="Q250" i="3"/>
  <c r="Q292" i="3"/>
  <c r="Q21" i="3"/>
  <c r="Q273" i="3"/>
  <c r="Q34" i="3"/>
  <c r="Q156" i="3"/>
  <c r="Q310" i="3"/>
  <c r="Q422" i="3"/>
  <c r="Q286" i="3"/>
  <c r="Q67" i="3"/>
  <c r="Q131" i="3"/>
  <c r="Q195" i="3"/>
  <c r="Q259" i="3"/>
  <c r="Q323" i="3"/>
  <c r="Q387" i="3"/>
  <c r="Q168" i="3"/>
  <c r="Q28" i="3"/>
  <c r="Q72" i="3"/>
  <c r="Q108" i="3"/>
  <c r="Q170" i="3"/>
  <c r="Q228" i="3"/>
  <c r="Q276" i="3"/>
  <c r="Q336" i="3"/>
  <c r="Q378" i="3"/>
  <c r="Q420" i="3"/>
  <c r="Q361" i="3"/>
  <c r="Q99" i="3"/>
  <c r="Q227" i="3"/>
  <c r="Q355" i="3"/>
  <c r="Q8" i="3"/>
  <c r="Q44" i="3"/>
  <c r="Q144" i="3"/>
  <c r="Q256" i="3"/>
  <c r="Q356" i="3"/>
  <c r="Q57" i="3"/>
  <c r="Q277" i="3"/>
  <c r="Q120" i="3"/>
  <c r="Q58" i="3"/>
  <c r="Q188" i="3"/>
  <c r="Q332" i="3"/>
  <c r="Q382" i="3"/>
  <c r="Q23" i="3"/>
  <c r="Q87" i="3"/>
  <c r="Q151" i="3"/>
  <c r="Q215" i="3"/>
  <c r="Q279" i="3"/>
  <c r="Q343" i="3"/>
  <c r="Q407" i="3"/>
  <c r="Q296" i="3"/>
  <c r="Q40" i="3"/>
  <c r="Q76" i="3"/>
  <c r="Q128" i="3"/>
  <c r="Q186" i="3"/>
  <c r="Q234" i="3"/>
  <c r="Q298" i="3"/>
  <c r="Q340" i="3"/>
  <c r="Q384" i="3"/>
  <c r="Q105" i="3"/>
  <c r="Q94" i="3"/>
  <c r="Q236" i="3"/>
  <c r="Q364" i="3"/>
  <c r="Q35" i="3"/>
  <c r="Q163" i="3"/>
  <c r="Q291" i="3"/>
  <c r="Q419" i="3"/>
  <c r="Q328" i="3"/>
  <c r="Q92" i="3"/>
  <c r="Q192" i="3"/>
  <c r="Q314" i="3"/>
  <c r="Q400" i="3"/>
  <c r="O46" i="3"/>
  <c r="O392" i="3"/>
  <c r="O328" i="3"/>
  <c r="O264" i="3"/>
  <c r="O172" i="3"/>
  <c r="O44" i="3"/>
  <c r="Q320" i="3"/>
  <c r="Q104" i="3"/>
  <c r="O313" i="3"/>
  <c r="O133" i="3"/>
  <c r="Q375" i="3"/>
  <c r="Q119" i="3"/>
  <c r="O378" i="3"/>
  <c r="Q386" i="3"/>
  <c r="Q401" i="3"/>
  <c r="R35" i="3"/>
  <c r="R115" i="3"/>
  <c r="R204" i="3"/>
  <c r="R17" i="3"/>
  <c r="R273" i="3"/>
  <c r="R163" i="3"/>
  <c r="R60" i="3"/>
  <c r="R316" i="3"/>
  <c r="R129" i="3"/>
  <c r="R385" i="3"/>
  <c r="R258" i="3"/>
  <c r="R178" i="3"/>
  <c r="R257" i="3"/>
  <c r="N210" i="3"/>
  <c r="N150" i="3"/>
  <c r="N56" i="3"/>
  <c r="N231" i="3"/>
  <c r="N139" i="3"/>
  <c r="N155" i="3"/>
  <c r="N416" i="3"/>
  <c r="N196" i="3"/>
  <c r="N190" i="3"/>
  <c r="N133" i="3"/>
  <c r="N232" i="3"/>
  <c r="N179" i="3"/>
  <c r="N409" i="3"/>
  <c r="N81" i="3"/>
  <c r="N338" i="3"/>
  <c r="N90" i="3"/>
  <c r="N287" i="3"/>
  <c r="N429" i="3"/>
  <c r="N356" i="3"/>
  <c r="N108" i="3"/>
  <c r="N4" i="3"/>
  <c r="N119" i="3"/>
  <c r="N325" i="3"/>
  <c r="N128" i="3"/>
  <c r="N387" i="3"/>
  <c r="N278" i="3"/>
  <c r="N273" i="3"/>
  <c r="N250" i="3"/>
  <c r="N26" i="3"/>
  <c r="N427" i="3"/>
  <c r="R130" i="3"/>
  <c r="R145" i="3"/>
  <c r="R332" i="3"/>
  <c r="R371" i="3"/>
  <c r="N191" i="3"/>
  <c r="N386" i="3"/>
  <c r="N201" i="3"/>
  <c r="N288" i="3"/>
  <c r="N318" i="3"/>
  <c r="N93" i="3"/>
  <c r="O47" i="3"/>
  <c r="N237" i="3"/>
  <c r="N132" i="3"/>
  <c r="N349" i="3"/>
  <c r="N113" i="3"/>
  <c r="N413" i="3"/>
  <c r="N268" i="3"/>
  <c r="N44" i="3"/>
  <c r="N45" i="3"/>
  <c r="N333" i="3"/>
  <c r="N284" i="3"/>
  <c r="N76" i="3"/>
  <c r="N425" i="3"/>
  <c r="N365" i="3"/>
  <c r="N324" i="3"/>
  <c r="N116" i="3"/>
  <c r="N7" i="3"/>
  <c r="N185" i="3"/>
  <c r="N393" i="3"/>
  <c r="N286" i="3"/>
  <c r="N174" i="3"/>
  <c r="N22" i="3"/>
  <c r="N199" i="3"/>
  <c r="N295" i="3"/>
  <c r="N431" i="3"/>
  <c r="N117" i="3"/>
  <c r="N245" i="3"/>
  <c r="N341" i="3"/>
  <c r="N376" i="3"/>
  <c r="N320" i="3"/>
  <c r="N264" i="3"/>
  <c r="N200" i="3"/>
  <c r="N144" i="3"/>
  <c r="N88" i="3"/>
  <c r="N16" i="3"/>
  <c r="N99" i="3"/>
  <c r="N195" i="3"/>
  <c r="N323" i="3"/>
  <c r="N235" i="3"/>
  <c r="N363" i="3"/>
  <c r="N137" i="3"/>
  <c r="N345" i="3"/>
  <c r="N366" i="3"/>
  <c r="N230" i="3"/>
  <c r="N118" i="3"/>
  <c r="N30" i="3"/>
  <c r="N33" i="3"/>
  <c r="N161" i="3"/>
  <c r="N241" i="3"/>
  <c r="N353" i="3"/>
  <c r="N418" i="3"/>
  <c r="N378" i="3"/>
  <c r="N322" i="3"/>
  <c r="N282" i="3"/>
  <c r="N234" i="3"/>
  <c r="N186" i="3"/>
  <c r="N146" i="3"/>
  <c r="N106" i="3"/>
  <c r="N58" i="3"/>
  <c r="N18" i="3"/>
  <c r="N63" i="3"/>
  <c r="N159" i="3"/>
  <c r="N239" i="3"/>
  <c r="N319" i="3"/>
  <c r="N415" i="3"/>
  <c r="N412" i="3"/>
  <c r="N364" i="3"/>
  <c r="N276" i="3"/>
  <c r="N205" i="3"/>
  <c r="N300" i="3"/>
  <c r="N12" i="3"/>
  <c r="N221" i="3"/>
  <c r="N340" i="3"/>
  <c r="N60" i="3"/>
  <c r="N169" i="3"/>
  <c r="N348" i="3"/>
  <c r="N36" i="3"/>
  <c r="N57" i="3"/>
  <c r="N361" i="3"/>
  <c r="N254" i="3"/>
  <c r="N86" i="3"/>
  <c r="N151" i="3"/>
  <c r="N327" i="3"/>
  <c r="N53" i="3"/>
  <c r="N197" i="3"/>
  <c r="N405" i="3"/>
  <c r="N352" i="3"/>
  <c r="N280" i="3"/>
  <c r="N192" i="3"/>
  <c r="N112" i="3"/>
  <c r="N40" i="3"/>
  <c r="N115" i="3"/>
  <c r="N259" i="3"/>
  <c r="N219" i="3"/>
  <c r="N395" i="3"/>
  <c r="N233" i="3"/>
  <c r="N374" i="3"/>
  <c r="N214" i="3"/>
  <c r="N62" i="3"/>
  <c r="N359" i="3"/>
  <c r="N177" i="3"/>
  <c r="N289" i="3"/>
  <c r="N417" i="3"/>
  <c r="N354" i="3"/>
  <c r="N306" i="3"/>
  <c r="N242" i="3"/>
  <c r="N178" i="3"/>
  <c r="N122" i="3"/>
  <c r="N74" i="3"/>
  <c r="N10" i="3"/>
  <c r="N111" i="3"/>
  <c r="N223" i="3"/>
  <c r="N351" i="3"/>
  <c r="N244" i="3"/>
  <c r="N426" i="3"/>
  <c r="N20" i="3"/>
  <c r="N52" i="3"/>
  <c r="N357" i="3"/>
  <c r="N172" i="3"/>
  <c r="N107" i="3"/>
  <c r="N285" i="3"/>
  <c r="N220" i="3"/>
  <c r="N75" i="3"/>
  <c r="N213" i="3"/>
  <c r="N260" i="3"/>
  <c r="N11" i="3"/>
  <c r="N121" i="3"/>
  <c r="N382" i="3"/>
  <c r="N238" i="3"/>
  <c r="N54" i="3"/>
  <c r="N215" i="3"/>
  <c r="N375" i="3"/>
  <c r="N69" i="3"/>
  <c r="N261" i="3"/>
  <c r="N430" i="3"/>
  <c r="N328" i="3"/>
  <c r="N248" i="3"/>
  <c r="N184" i="3"/>
  <c r="N96" i="3"/>
  <c r="N8" i="3"/>
  <c r="N163" i="3"/>
  <c r="N291" i="3"/>
  <c r="N251" i="3"/>
  <c r="N9" i="3"/>
  <c r="N329" i="3"/>
  <c r="N310" i="3"/>
  <c r="N182" i="3"/>
  <c r="N46" i="3"/>
  <c r="N49" i="3"/>
  <c r="N209" i="3"/>
  <c r="N305" i="3"/>
  <c r="N410" i="3"/>
  <c r="N346" i="3"/>
  <c r="N290" i="3"/>
  <c r="N218" i="3"/>
  <c r="N170" i="3"/>
  <c r="N114" i="3"/>
  <c r="N50" i="3"/>
  <c r="N31" i="3"/>
  <c r="N127" i="3"/>
  <c r="N255" i="3"/>
  <c r="N367" i="3"/>
  <c r="R337" i="3"/>
  <c r="R209" i="3"/>
  <c r="R81" i="3"/>
  <c r="R396" i="3"/>
  <c r="R268" i="3"/>
  <c r="R140" i="3"/>
  <c r="R12" i="3"/>
  <c r="R259" i="3"/>
  <c r="N383" i="3"/>
  <c r="N175" i="3"/>
  <c r="N42" i="3"/>
  <c r="N154" i="3"/>
  <c r="N266" i="3"/>
  <c r="N394" i="3"/>
  <c r="N225" i="3"/>
  <c r="N55" i="3"/>
  <c r="N294" i="3"/>
  <c r="N41" i="3"/>
  <c r="N371" i="3"/>
  <c r="N35" i="3"/>
  <c r="N152" i="3"/>
  <c r="N312" i="3"/>
  <c r="N309" i="3"/>
  <c r="N407" i="3"/>
  <c r="N39" i="3"/>
  <c r="N358" i="3"/>
  <c r="N71" i="3"/>
  <c r="N421" i="3"/>
  <c r="N188" i="3"/>
  <c r="N347" i="3"/>
  <c r="N408" i="3"/>
  <c r="N308" i="3"/>
  <c r="R430" i="3"/>
  <c r="R51" i="3"/>
  <c r="R131" i="3"/>
  <c r="R227" i="3"/>
  <c r="R307" i="3"/>
  <c r="R387" i="3"/>
  <c r="R67" i="3"/>
  <c r="R179" i="3"/>
  <c r="R291" i="3"/>
  <c r="R419" i="3"/>
  <c r="R28" i="3"/>
  <c r="R92" i="3"/>
  <c r="R156" i="3"/>
  <c r="R220" i="3"/>
  <c r="R284" i="3"/>
  <c r="R348" i="3"/>
  <c r="R412" i="3"/>
  <c r="R33" i="3"/>
  <c r="R97" i="3"/>
  <c r="R161" i="3"/>
  <c r="R225" i="3"/>
  <c r="R289" i="3"/>
  <c r="R353" i="3"/>
  <c r="R417" i="3"/>
  <c r="R18" i="3"/>
  <c r="R82" i="3"/>
  <c r="R146" i="3"/>
  <c r="R210" i="3"/>
  <c r="R274" i="3"/>
  <c r="R338" i="3"/>
  <c r="R402" i="3"/>
  <c r="R113" i="3"/>
  <c r="R177" i="3"/>
  <c r="R305" i="3"/>
  <c r="R162" i="3"/>
  <c r="R290" i="3"/>
  <c r="R354" i="3"/>
  <c r="R99" i="3"/>
  <c r="R195" i="3"/>
  <c r="R323" i="3"/>
  <c r="R44" i="3"/>
  <c r="R108" i="3"/>
  <c r="R172" i="3"/>
  <c r="R236" i="3"/>
  <c r="R300" i="3"/>
  <c r="R364" i="3"/>
  <c r="R428" i="3"/>
  <c r="R49" i="3"/>
  <c r="R241" i="3"/>
  <c r="R369" i="3"/>
  <c r="R34" i="3"/>
  <c r="R98" i="3"/>
  <c r="R226" i="3"/>
  <c r="R418" i="3"/>
  <c r="R370" i="3"/>
  <c r="R242" i="3"/>
  <c r="R114" i="3"/>
  <c r="R322" i="3"/>
  <c r="R194" i="3"/>
  <c r="R66" i="3"/>
  <c r="R321" i="3"/>
  <c r="R193" i="3"/>
  <c r="R65" i="3"/>
  <c r="R380" i="3"/>
  <c r="R252" i="3"/>
  <c r="R124" i="3"/>
  <c r="R243" i="3"/>
  <c r="N303" i="3"/>
  <c r="N95" i="3"/>
  <c r="N82" i="3"/>
  <c r="N202" i="3"/>
  <c r="N314" i="3"/>
  <c r="N385" i="3"/>
  <c r="N129" i="3"/>
  <c r="N110" i="3"/>
  <c r="N406" i="3"/>
  <c r="N315" i="3"/>
  <c r="N243" i="3"/>
  <c r="N48" i="3"/>
  <c r="N224" i="3"/>
  <c r="N360" i="3"/>
  <c r="N165" i="3"/>
  <c r="N279" i="3"/>
  <c r="N142" i="3"/>
  <c r="N313" i="3"/>
  <c r="N148" i="3"/>
  <c r="N77" i="3"/>
  <c r="N396" i="3"/>
  <c r="N124" i="3"/>
  <c r="N157" i="3"/>
  <c r="N43" i="3"/>
  <c r="P46" i="3"/>
  <c r="P92" i="3"/>
  <c r="P128" i="3"/>
  <c r="P174" i="3"/>
  <c r="P220" i="3"/>
  <c r="P256" i="3"/>
  <c r="P302" i="3"/>
  <c r="P348" i="3"/>
  <c r="P384" i="3"/>
  <c r="P430" i="3"/>
  <c r="P66" i="3"/>
  <c r="P322" i="3"/>
  <c r="Q145" i="3"/>
  <c r="Q229" i="3"/>
  <c r="O414" i="3"/>
  <c r="O382" i="3"/>
  <c r="O350" i="3"/>
  <c r="O306" i="3"/>
  <c r="O262" i="3"/>
  <c r="O222" i="3"/>
  <c r="O178" i="3"/>
  <c r="O134" i="3"/>
  <c r="O94" i="3"/>
  <c r="O50" i="3"/>
  <c r="P210" i="3"/>
  <c r="O403" i="3"/>
  <c r="O315" i="3"/>
  <c r="O227" i="3"/>
  <c r="O135" i="3"/>
  <c r="P425" i="3"/>
  <c r="P405" i="3"/>
  <c r="P383" i="3"/>
  <c r="P361" i="3"/>
  <c r="P341" i="3"/>
  <c r="P319" i="3"/>
  <c r="P297" i="3"/>
  <c r="P277" i="3"/>
  <c r="P255" i="3"/>
  <c r="P233" i="3"/>
  <c r="P213" i="3"/>
  <c r="P191" i="3"/>
  <c r="P169" i="3"/>
  <c r="P149" i="3"/>
  <c r="P127" i="3"/>
  <c r="P105" i="3"/>
  <c r="P85" i="3"/>
  <c r="P63" i="3"/>
  <c r="P41" i="3"/>
  <c r="P21" i="3"/>
  <c r="Q405" i="3"/>
  <c r="Q321" i="3"/>
  <c r="Q233" i="3"/>
  <c r="P194" i="3"/>
  <c r="P416" i="3"/>
  <c r="P366" i="3"/>
  <c r="P316" i="3"/>
  <c r="P252" i="3"/>
  <c r="P192" i="3"/>
  <c r="P142" i="3"/>
  <c r="P78" i="3"/>
  <c r="P28" i="3"/>
  <c r="H439" i="3"/>
  <c r="O27" i="3"/>
  <c r="Q206" i="3"/>
  <c r="Q334" i="3"/>
  <c r="Q13" i="3"/>
  <c r="Q29" i="3"/>
  <c r="Q45" i="3"/>
  <c r="Q61" i="3"/>
  <c r="Q77" i="3"/>
  <c r="Q93" i="3"/>
  <c r="Q109" i="3"/>
  <c r="Q125" i="3"/>
  <c r="Q141" i="3"/>
  <c r="Q157" i="3"/>
  <c r="Q173" i="3"/>
  <c r="Q189" i="3"/>
  <c r="Q205" i="3"/>
  <c r="Q221" i="3"/>
  <c r="Q237" i="3"/>
  <c r="Q253" i="3"/>
  <c r="Q269" i="3"/>
  <c r="Q285" i="3"/>
  <c r="Q301" i="3"/>
  <c r="Q317" i="3"/>
  <c r="Q333" i="3"/>
  <c r="Q349" i="3"/>
  <c r="Q365" i="3"/>
  <c r="Q381" i="3"/>
  <c r="Q397" i="3"/>
  <c r="Q413" i="3"/>
  <c r="Q429" i="3"/>
  <c r="Q152" i="3"/>
  <c r="Q280" i="3"/>
  <c r="Q408" i="3"/>
  <c r="Q6" i="3"/>
  <c r="Q22" i="3"/>
  <c r="Q38" i="3"/>
  <c r="Q54" i="3"/>
  <c r="Q70" i="3"/>
  <c r="Q86" i="3"/>
  <c r="Q102" i="3"/>
  <c r="Q118" i="3"/>
  <c r="Q140" i="3"/>
  <c r="Q162" i="3"/>
  <c r="Q182" i="3"/>
  <c r="Q204" i="3"/>
  <c r="Q226" i="3"/>
  <c r="Q246" i="3"/>
  <c r="Q268" i="3"/>
  <c r="Q290" i="3"/>
  <c r="Q238" i="3"/>
  <c r="Q398" i="3"/>
  <c r="Q5" i="3"/>
  <c r="Q25" i="3"/>
  <c r="Q49" i="3"/>
  <c r="Q69" i="3"/>
  <c r="Q89" i="3"/>
  <c r="Q113" i="3"/>
  <c r="Q133" i="3"/>
  <c r="Q153" i="3"/>
  <c r="Q177" i="3"/>
  <c r="Q197" i="3"/>
  <c r="Q217" i="3"/>
  <c r="Q241" i="3"/>
  <c r="Q261" i="3"/>
  <c r="Q281" i="3"/>
  <c r="Q305" i="3"/>
  <c r="Q325" i="3"/>
  <c r="Q345" i="3"/>
  <c r="Q369" i="3"/>
  <c r="Q389" i="3"/>
  <c r="Q409" i="3"/>
  <c r="Q426" i="3"/>
  <c r="Q270" i="3"/>
  <c r="Q430" i="3"/>
  <c r="Q9" i="3"/>
  <c r="Q33" i="3"/>
  <c r="Q53" i="3"/>
  <c r="Q73" i="3"/>
  <c r="Q97" i="3"/>
  <c r="Q117" i="3"/>
  <c r="Q137" i="3"/>
  <c r="Q161" i="3"/>
  <c r="Q181" i="3"/>
  <c r="Q201" i="3"/>
  <c r="Q225" i="3"/>
  <c r="Q245" i="3"/>
  <c r="Q265" i="3"/>
  <c r="Q289" i="3"/>
  <c r="Q309" i="3"/>
  <c r="Q329" i="3"/>
  <c r="Q353" i="3"/>
  <c r="Q373" i="3"/>
  <c r="Q393" i="3"/>
  <c r="Q417" i="3"/>
  <c r="Q184" i="3"/>
  <c r="Q344" i="3"/>
  <c r="Q26" i="3"/>
  <c r="Q46" i="3"/>
  <c r="Q66" i="3"/>
  <c r="Q90" i="3"/>
  <c r="Q110" i="3"/>
  <c r="Q134" i="3"/>
  <c r="Q166" i="3"/>
  <c r="Q194" i="3"/>
  <c r="Q220" i="3"/>
  <c r="Q252" i="3"/>
  <c r="Q278" i="3"/>
  <c r="Q306" i="3"/>
  <c r="Q326" i="3"/>
  <c r="Q348" i="3"/>
  <c r="Q370" i="3"/>
  <c r="Q390" i="3"/>
  <c r="Q412" i="3"/>
  <c r="O420" i="3"/>
  <c r="O404" i="3"/>
  <c r="O388" i="3"/>
  <c r="O372" i="3"/>
  <c r="O356" i="3"/>
  <c r="O340" i="3"/>
  <c r="O324" i="3"/>
  <c r="O308" i="3"/>
  <c r="O292" i="3"/>
  <c r="O276" i="3"/>
  <c r="O260" i="3"/>
  <c r="O244" i="3"/>
  <c r="O228" i="3"/>
  <c r="O212" i="3"/>
  <c r="O196" i="3"/>
  <c r="O180" i="3"/>
  <c r="O164" i="3"/>
  <c r="O148" i="3"/>
  <c r="O132" i="3"/>
  <c r="O116" i="3"/>
  <c r="O100" i="3"/>
  <c r="O84" i="3"/>
  <c r="O68" i="3"/>
  <c r="O52" i="3"/>
  <c r="O36" i="3"/>
  <c r="O20" i="3"/>
  <c r="O425" i="3"/>
  <c r="Q416" i="3"/>
  <c r="Q394" i="3"/>
  <c r="Q372" i="3"/>
  <c r="Q352" i="3"/>
  <c r="Q330" i="3"/>
  <c r="Q308" i="3"/>
  <c r="Q288" i="3"/>
  <c r="Q266" i="3"/>
  <c r="Q244" i="3"/>
  <c r="Q224" i="3"/>
  <c r="Q202" i="3"/>
  <c r="Q180" i="3"/>
  <c r="Q160" i="3"/>
  <c r="Q138" i="3"/>
  <c r="Q116" i="3"/>
  <c r="Q100" i="3"/>
  <c r="Q84" i="3"/>
  <c r="Q68" i="3"/>
  <c r="Q52" i="3"/>
  <c r="Q36" i="3"/>
  <c r="Q20" i="3"/>
  <c r="Q4" i="3"/>
  <c r="Q392" i="3"/>
  <c r="Q264" i="3"/>
  <c r="Q136" i="3"/>
  <c r="O429" i="3"/>
  <c r="O411" i="3"/>
  <c r="O393" i="3"/>
  <c r="O377" i="3"/>
  <c r="O361" i="3"/>
  <c r="O343" i="3"/>
  <c r="O325" i="3"/>
  <c r="O309" i="3"/>
  <c r="O293" i="3"/>
  <c r="O277" i="3"/>
  <c r="O259" i="3"/>
  <c r="O243" i="3"/>
  <c r="O225" i="3"/>
  <c r="O209" i="3"/>
  <c r="O193" i="3"/>
  <c r="O177" i="3"/>
  <c r="O159" i="3"/>
  <c r="O141" i="3"/>
  <c r="O125" i="3"/>
  <c r="O109" i="3"/>
  <c r="O93" i="3"/>
  <c r="O75" i="3"/>
  <c r="O57" i="3"/>
  <c r="O41" i="3"/>
  <c r="O25" i="3"/>
  <c r="O7" i="3"/>
  <c r="Q431" i="3"/>
  <c r="Q415" i="3"/>
  <c r="Q399" i="3"/>
  <c r="Q383" i="3"/>
  <c r="Q367" i="3"/>
  <c r="Q351" i="3"/>
  <c r="Q335" i="3"/>
  <c r="Q319" i="3"/>
  <c r="Q303" i="3"/>
  <c r="Q287" i="3"/>
  <c r="Q271" i="3"/>
  <c r="Q255" i="3"/>
  <c r="Q239" i="3"/>
  <c r="Q223" i="3"/>
  <c r="Q207" i="3"/>
  <c r="Q191" i="3"/>
  <c r="Q175" i="3"/>
  <c r="Q159" i="3"/>
  <c r="Q143" i="3"/>
  <c r="Q127" i="3"/>
  <c r="Q111" i="3"/>
  <c r="Q95" i="3"/>
  <c r="Q79" i="3"/>
  <c r="Q63" i="3"/>
  <c r="Q47" i="3"/>
  <c r="Q31" i="3"/>
  <c r="Q15" i="3"/>
  <c r="Q350" i="3"/>
  <c r="Q222" i="3"/>
  <c r="O422" i="3"/>
  <c r="O406" i="3"/>
  <c r="O390" i="3"/>
  <c r="O374" i="3"/>
  <c r="O358" i="3"/>
  <c r="O338" i="3"/>
  <c r="O318" i="3"/>
  <c r="O294" i="3"/>
  <c r="O274" i="3"/>
  <c r="O254" i="3"/>
  <c r="O230" i="3"/>
  <c r="O210" i="3"/>
  <c r="O190" i="3"/>
  <c r="O166" i="3"/>
  <c r="O146" i="3"/>
  <c r="O126" i="3"/>
  <c r="O102" i="3"/>
  <c r="O82" i="3"/>
  <c r="O62" i="3"/>
  <c r="O38" i="3"/>
  <c r="O18" i="3"/>
  <c r="O169" i="3"/>
  <c r="Q406" i="3"/>
  <c r="Q380" i="3"/>
  <c r="Q354" i="3"/>
  <c r="Q322" i="3"/>
  <c r="Q294" i="3"/>
  <c r="Q258" i="3"/>
  <c r="Q214" i="3"/>
  <c r="Q178" i="3"/>
  <c r="Q146" i="3"/>
  <c r="Q106" i="3"/>
  <c r="Q78" i="3"/>
  <c r="Q50" i="3"/>
  <c r="Q18" i="3"/>
  <c r="Q248" i="3"/>
  <c r="O431" i="3"/>
  <c r="O383" i="3"/>
  <c r="O337" i="3"/>
  <c r="O295" i="3"/>
  <c r="O249" i="3"/>
  <c r="O203" i="3"/>
  <c r="O161" i="3"/>
  <c r="O115" i="3"/>
  <c r="O67" i="3"/>
  <c r="Q425" i="3"/>
  <c r="Q385" i="3"/>
  <c r="Q341" i="3"/>
  <c r="Q297" i="3"/>
  <c r="Q257" i="3"/>
  <c r="Q213" i="3"/>
  <c r="Q169" i="3"/>
  <c r="Q129" i="3"/>
  <c r="Q85" i="3"/>
  <c r="Q41" i="3"/>
  <c r="Q174" i="3"/>
  <c r="O4" i="3"/>
  <c r="O5" i="3"/>
  <c r="O23" i="3"/>
  <c r="O39" i="3"/>
  <c r="O55" i="3"/>
  <c r="O71" i="3"/>
  <c r="O91" i="3"/>
  <c r="O107" i="3"/>
  <c r="O123" i="3"/>
  <c r="O139" i="3"/>
  <c r="O157" i="3"/>
  <c r="O175" i="3"/>
  <c r="O191" i="3"/>
  <c r="O207" i="3"/>
  <c r="O223" i="3"/>
  <c r="O241" i="3"/>
  <c r="O257" i="3"/>
  <c r="O275" i="3"/>
  <c r="O291" i="3"/>
  <c r="O307" i="3"/>
  <c r="O323" i="3"/>
  <c r="O341" i="3"/>
  <c r="O359" i="3"/>
  <c r="O375" i="3"/>
  <c r="O391" i="3"/>
  <c r="O407" i="3"/>
  <c r="O427" i="3"/>
  <c r="O15" i="3"/>
  <c r="O35" i="3"/>
  <c r="O59" i="3"/>
  <c r="O81" i="3"/>
  <c r="O103" i="3"/>
  <c r="O127" i="3"/>
  <c r="O147" i="3"/>
  <c r="O171" i="3"/>
  <c r="O195" i="3"/>
  <c r="O215" i="3"/>
  <c r="O237" i="3"/>
  <c r="O261" i="3"/>
  <c r="O283" i="3"/>
  <c r="O303" i="3"/>
  <c r="O327" i="3"/>
  <c r="O351" i="3"/>
  <c r="O371" i="3"/>
  <c r="O395" i="3"/>
  <c r="O417" i="3"/>
  <c r="O153" i="3"/>
  <c r="O19" i="3"/>
  <c r="O43" i="3"/>
  <c r="O63" i="3"/>
  <c r="O85" i="3"/>
  <c r="O111" i="3"/>
  <c r="O131" i="3"/>
  <c r="O151" i="3"/>
  <c r="O179" i="3"/>
  <c r="O199" i="3"/>
  <c r="O219" i="3"/>
  <c r="O245" i="3"/>
  <c r="O267" i="3"/>
  <c r="O287" i="3"/>
  <c r="O311" i="3"/>
  <c r="O333" i="3"/>
  <c r="O355" i="3"/>
  <c r="O379" i="3"/>
  <c r="O399" i="3"/>
  <c r="O421" i="3"/>
  <c r="O9" i="3"/>
  <c r="O10" i="3"/>
  <c r="O26" i="3"/>
  <c r="O42" i="3"/>
  <c r="O58" i="3"/>
  <c r="O74" i="3"/>
  <c r="O90" i="3"/>
  <c r="O106" i="3"/>
  <c r="O122" i="3"/>
  <c r="O138" i="3"/>
  <c r="O154" i="3"/>
  <c r="O170" i="3"/>
  <c r="O186" i="3"/>
  <c r="O202" i="3"/>
  <c r="O218" i="3"/>
  <c r="O234" i="3"/>
  <c r="O250" i="3"/>
  <c r="O266" i="3"/>
  <c r="O282" i="3"/>
  <c r="O298" i="3"/>
  <c r="O314" i="3"/>
  <c r="O330" i="3"/>
  <c r="O346" i="3"/>
  <c r="O416" i="3"/>
  <c r="O400" i="3"/>
  <c r="O384" i="3"/>
  <c r="O368" i="3"/>
  <c r="O352" i="3"/>
  <c r="O336" i="3"/>
  <c r="O320" i="3"/>
  <c r="O304" i="3"/>
  <c r="O288" i="3"/>
  <c r="O272" i="3"/>
  <c r="O256" i="3"/>
  <c r="O240" i="3"/>
  <c r="O224" i="3"/>
  <c r="O208" i="3"/>
  <c r="O192" i="3"/>
  <c r="O176" i="3"/>
  <c r="O160" i="3"/>
  <c r="O144" i="3"/>
  <c r="O128" i="3"/>
  <c r="O112" i="3"/>
  <c r="O96" i="3"/>
  <c r="O80" i="3"/>
  <c r="O64" i="3"/>
  <c r="O48" i="3"/>
  <c r="O32" i="3"/>
  <c r="O16" i="3"/>
  <c r="O265" i="3"/>
  <c r="Q410" i="3"/>
  <c r="Q388" i="3"/>
  <c r="Q368" i="3"/>
  <c r="Q346" i="3"/>
  <c r="Q324" i="3"/>
  <c r="Q304" i="3"/>
  <c r="Q282" i="3"/>
  <c r="Q260" i="3"/>
  <c r="Q240" i="3"/>
  <c r="Q218" i="3"/>
  <c r="Q196" i="3"/>
  <c r="Q176" i="3"/>
  <c r="Q154" i="3"/>
  <c r="Q132" i="3"/>
  <c r="Q112" i="3"/>
  <c r="Q96" i="3"/>
  <c r="Q80" i="3"/>
  <c r="Q64" i="3"/>
  <c r="Q48" i="3"/>
  <c r="Q32" i="3"/>
  <c r="Q16" i="3"/>
  <c r="Q360" i="3"/>
  <c r="Q232" i="3"/>
  <c r="O423" i="3"/>
  <c r="O405" i="3"/>
  <c r="O389" i="3"/>
  <c r="O373" i="3"/>
  <c r="O357" i="3"/>
  <c r="O339" i="3"/>
  <c r="O321" i="3"/>
  <c r="O305" i="3"/>
  <c r="O289" i="3"/>
  <c r="O273" i="3"/>
  <c r="O255" i="3"/>
  <c r="O239" i="3"/>
  <c r="O221" i="3"/>
  <c r="O205" i="3"/>
  <c r="O189" i="3"/>
  <c r="O173" i="3"/>
  <c r="O155" i="3"/>
  <c r="O137" i="3"/>
  <c r="O121" i="3"/>
  <c r="O105" i="3"/>
  <c r="O87" i="3"/>
  <c r="O69" i="3"/>
  <c r="O53" i="3"/>
  <c r="O37" i="3"/>
  <c r="O21" i="3"/>
  <c r="O409" i="3"/>
  <c r="Q427" i="3"/>
  <c r="Q411" i="3"/>
  <c r="Q395" i="3"/>
  <c r="Q379" i="3"/>
  <c r="Q363" i="3"/>
  <c r="Q347" i="3"/>
  <c r="Q331" i="3"/>
  <c r="Q315" i="3"/>
  <c r="Q299" i="3"/>
  <c r="Q283" i="3"/>
  <c r="Q267" i="3"/>
  <c r="Q251" i="3"/>
  <c r="Q235" i="3"/>
  <c r="Q219" i="3"/>
  <c r="Q203" i="3"/>
  <c r="Q187" i="3"/>
  <c r="Q171" i="3"/>
  <c r="Q155" i="3"/>
  <c r="Q139" i="3"/>
  <c r="Q123" i="3"/>
  <c r="Q107" i="3"/>
  <c r="Q91" i="3"/>
  <c r="Q75" i="3"/>
  <c r="Q59" i="3"/>
  <c r="Q43" i="3"/>
  <c r="Q27" i="3"/>
  <c r="Q11" i="3"/>
  <c r="Q318" i="3"/>
  <c r="Q190" i="3"/>
  <c r="O418" i="3"/>
  <c r="O402" i="3"/>
  <c r="O386" i="3"/>
  <c r="O370" i="3"/>
  <c r="O354" i="3"/>
  <c r="O334" i="3"/>
  <c r="O310" i="3"/>
  <c r="O290" i="3"/>
  <c r="O270" i="3"/>
  <c r="O246" i="3"/>
  <c r="O226" i="3"/>
  <c r="O206" i="3"/>
  <c r="O182" i="3"/>
  <c r="O162" i="3"/>
  <c r="O142" i="3"/>
  <c r="O118" i="3"/>
  <c r="O98" i="3"/>
  <c r="O78" i="3"/>
  <c r="O54" i="3"/>
  <c r="O34" i="3"/>
  <c r="O14" i="3"/>
  <c r="Q428" i="3"/>
  <c r="Q402" i="3"/>
  <c r="Q374" i="3"/>
  <c r="Q342" i="3"/>
  <c r="Q316" i="3"/>
  <c r="Q284" i="3"/>
  <c r="Q242" i="3"/>
  <c r="Q210" i="3"/>
  <c r="Q172" i="3"/>
  <c r="Q130" i="3"/>
  <c r="Q98" i="3"/>
  <c r="Q74" i="3"/>
  <c r="Q42" i="3"/>
  <c r="Q14" i="3"/>
  <c r="Q216" i="3"/>
  <c r="O413" i="3"/>
  <c r="O367" i="3"/>
  <c r="O319" i="3"/>
  <c r="O279" i="3"/>
  <c r="O231" i="3"/>
  <c r="O187" i="3"/>
  <c r="O143" i="3"/>
  <c r="O99" i="3"/>
  <c r="O51" i="3"/>
  <c r="O11" i="3"/>
  <c r="Q421" i="3"/>
  <c r="Q377" i="3"/>
  <c r="Q337" i="3"/>
  <c r="Q293" i="3"/>
  <c r="Q249" i="3"/>
  <c r="Q209" i="3"/>
  <c r="Q165" i="3"/>
  <c r="Q121" i="3"/>
  <c r="Q81" i="3"/>
  <c r="Q37" i="3"/>
  <c r="Q142" i="3"/>
  <c r="N423" i="3"/>
  <c r="N91" i="3"/>
  <c r="N339" i="3"/>
  <c r="N212" i="3"/>
  <c r="N397" i="3"/>
  <c r="N109" i="3"/>
  <c r="N145" i="3"/>
  <c r="N158" i="3"/>
  <c r="N65" i="3"/>
  <c r="N253" i="3"/>
  <c r="N428" i="3"/>
  <c r="N332" i="3"/>
  <c r="N204" i="3"/>
  <c r="N92" i="3"/>
  <c r="N59" i="3"/>
  <c r="N274" i="3"/>
  <c r="N173" i="3"/>
  <c r="N381" i="3"/>
  <c r="N370" i="3"/>
  <c r="N252" i="3"/>
  <c r="N140" i="3"/>
  <c r="N28" i="3"/>
  <c r="N203" i="3"/>
  <c r="N125" i="3"/>
  <c r="N321" i="3"/>
  <c r="N404" i="3"/>
  <c r="N292" i="3"/>
  <c r="N164" i="3"/>
  <c r="N68" i="3"/>
  <c r="N123" i="3"/>
  <c r="N25" i="3"/>
  <c r="N153" i="3"/>
  <c r="N281" i="3"/>
  <c r="N414" i="3"/>
  <c r="N350" i="3"/>
  <c r="N270" i="3"/>
  <c r="N198" i="3"/>
  <c r="N126" i="3"/>
  <c r="N38" i="3"/>
  <c r="N103" i="3"/>
  <c r="N183" i="3"/>
  <c r="N247" i="3"/>
  <c r="N311" i="3"/>
  <c r="N391" i="3"/>
  <c r="N21" i="3"/>
  <c r="N85" i="3"/>
  <c r="N149" i="3"/>
  <c r="N229" i="3"/>
  <c r="N293" i="3"/>
  <c r="N373" i="3"/>
  <c r="N400" i="3"/>
  <c r="N368" i="3"/>
  <c r="N336" i="3"/>
  <c r="N304" i="3"/>
  <c r="N272" i="3"/>
  <c r="N240" i="3"/>
  <c r="N208" i="3"/>
  <c r="N176" i="3"/>
  <c r="N136" i="3"/>
  <c r="N104" i="3"/>
  <c r="N64" i="3"/>
  <c r="N32" i="3"/>
  <c r="N19" i="3"/>
  <c r="N83" i="3"/>
  <c r="N147" i="3"/>
  <c r="N211" i="3"/>
  <c r="N275" i="3"/>
  <c r="N355" i="3"/>
  <c r="N419" i="3"/>
  <c r="N267" i="3"/>
  <c r="N331" i="3"/>
  <c r="N411" i="3"/>
  <c r="N105" i="3"/>
  <c r="N265" i="3"/>
  <c r="N377" i="3"/>
  <c r="N390" i="3"/>
  <c r="N326" i="3"/>
  <c r="N262" i="3"/>
  <c r="N206" i="3"/>
  <c r="N134" i="3"/>
  <c r="N78" i="3"/>
  <c r="N14" i="3"/>
  <c r="N135" i="3"/>
  <c r="R403" i="3"/>
  <c r="R339" i="3"/>
  <c r="R275" i="3"/>
  <c r="R211" i="3"/>
  <c r="R147" i="3"/>
  <c r="R83" i="3"/>
  <c r="R19" i="3"/>
  <c r="N399" i="3"/>
  <c r="N335" i="3"/>
  <c r="N271" i="3"/>
  <c r="N207" i="3"/>
  <c r="N143" i="3"/>
  <c r="N79" i="3"/>
  <c r="N15" i="3"/>
  <c r="N34" i="3"/>
  <c r="N66" i="3"/>
  <c r="N98" i="3"/>
  <c r="N130" i="3"/>
  <c r="N162" i="3"/>
  <c r="N194" i="3"/>
  <c r="N226" i="3"/>
  <c r="N258" i="3"/>
  <c r="N298" i="3"/>
  <c r="N330" i="3"/>
  <c r="N362" i="3"/>
  <c r="N402" i="3"/>
  <c r="N401" i="3"/>
  <c r="N337" i="3"/>
  <c r="N257" i="3"/>
  <c r="N193" i="3"/>
  <c r="N97" i="3"/>
  <c r="N17" i="3"/>
  <c r="N23" i="3"/>
  <c r="N94" i="3"/>
  <c r="N166" i="3"/>
  <c r="N246" i="3"/>
  <c r="N342" i="3"/>
  <c r="N422" i="3"/>
  <c r="N297" i="3"/>
  <c r="N73" i="3"/>
  <c r="N379" i="3"/>
  <c r="N283" i="3"/>
  <c r="N403" i="3"/>
  <c r="N307" i="3"/>
  <c r="N227" i="3"/>
  <c r="N131" i="3"/>
  <c r="N51" i="3"/>
  <c r="N24" i="3"/>
  <c r="N80" i="3"/>
  <c r="N120" i="3"/>
  <c r="N168" i="3"/>
  <c r="N216" i="3"/>
  <c r="N256" i="3"/>
  <c r="N296" i="3"/>
  <c r="N344" i="3"/>
  <c r="N384" i="3"/>
  <c r="N389" i="3"/>
  <c r="N277" i="3"/>
  <c r="N181" i="3"/>
  <c r="N101" i="3"/>
  <c r="N5" i="3"/>
  <c r="N343" i="3"/>
  <c r="N263" i="3"/>
  <c r="N167" i="3"/>
  <c r="N6" i="3"/>
  <c r="N102" i="3"/>
  <c r="N222" i="3"/>
  <c r="N302" i="3"/>
  <c r="N398" i="3"/>
  <c r="N249" i="3"/>
  <c r="N89" i="3"/>
  <c r="N187" i="3"/>
  <c r="N84" i="3"/>
  <c r="N228" i="3"/>
  <c r="N372" i="3"/>
  <c r="N269" i="3"/>
  <c r="N29" i="3"/>
  <c r="N27" i="3"/>
  <c r="N160" i="3"/>
  <c r="N316" i="3"/>
  <c r="N424" i="3"/>
  <c r="N141" i="3"/>
  <c r="N171" i="3"/>
  <c r="N70" i="3"/>
  <c r="N236" i="3"/>
  <c r="N380" i="3"/>
  <c r="N317" i="3"/>
  <c r="N13" i="3"/>
  <c r="N388" i="3"/>
  <c r="N301" i="3"/>
  <c r="N189" i="3"/>
  <c r="N72" i="3"/>
  <c r="N334" i="3"/>
  <c r="N61" i="3"/>
  <c r="I439" i="3"/>
  <c r="J439" i="3"/>
  <c r="G439" i="3"/>
  <c r="R414" i="3"/>
  <c r="R382" i="3"/>
  <c r="R350" i="3"/>
  <c r="R318" i="3"/>
  <c r="R286" i="3"/>
  <c r="R254" i="3"/>
  <c r="R222" i="3"/>
  <c r="R206" i="3"/>
  <c r="R174" i="3"/>
  <c r="R142" i="3"/>
  <c r="R110" i="3"/>
  <c r="R94" i="3"/>
  <c r="R62" i="3"/>
  <c r="R46" i="3"/>
  <c r="R30" i="3"/>
  <c r="R14" i="3"/>
  <c r="R413" i="3"/>
  <c r="R381" i="3"/>
  <c r="R349" i="3"/>
  <c r="R317" i="3"/>
  <c r="R285" i="3"/>
  <c r="R253" i="3"/>
  <c r="R221" i="3"/>
  <c r="R189" i="3"/>
  <c r="R173" i="3"/>
  <c r="R141" i="3"/>
  <c r="R109" i="3"/>
  <c r="R93" i="3"/>
  <c r="R61" i="3"/>
  <c r="R45" i="3"/>
  <c r="R29" i="3"/>
  <c r="R13" i="3"/>
  <c r="R424" i="3"/>
  <c r="R392" i="3"/>
  <c r="R360" i="3"/>
  <c r="R328" i="3"/>
  <c r="R296" i="3"/>
  <c r="R264" i="3"/>
  <c r="R232" i="3"/>
  <c r="R200" i="3"/>
  <c r="R168" i="3"/>
  <c r="R136" i="3"/>
  <c r="R104" i="3"/>
  <c r="R88" i="3"/>
  <c r="R56" i="3"/>
  <c r="R40" i="3"/>
  <c r="R24" i="3"/>
  <c r="R8" i="3"/>
  <c r="R415" i="3"/>
  <c r="R383" i="3"/>
  <c r="R351" i="3"/>
  <c r="R319" i="3"/>
  <c r="R287" i="3"/>
  <c r="R255" i="3"/>
  <c r="R223" i="3"/>
  <c r="R191" i="3"/>
  <c r="R159" i="3"/>
  <c r="R127" i="3"/>
  <c r="R95" i="3"/>
  <c r="R79" i="3"/>
  <c r="R47" i="3"/>
  <c r="R31" i="3"/>
  <c r="R15" i="3"/>
  <c r="R426" i="3"/>
  <c r="R410" i="3"/>
  <c r="R394" i="3"/>
  <c r="R378" i="3"/>
  <c r="R362" i="3"/>
  <c r="R346" i="3"/>
  <c r="R330" i="3"/>
  <c r="R314" i="3"/>
  <c r="R298" i="3"/>
  <c r="R282" i="3"/>
  <c r="R266" i="3"/>
  <c r="R250" i="3"/>
  <c r="R234" i="3"/>
  <c r="R218" i="3"/>
  <c r="R202" i="3"/>
  <c r="R186" i="3"/>
  <c r="R170" i="3"/>
  <c r="R154" i="3"/>
  <c r="R138" i="3"/>
  <c r="R122" i="3"/>
  <c r="R106" i="3"/>
  <c r="R90" i="3"/>
  <c r="R74" i="3"/>
  <c r="R58" i="3"/>
  <c r="R42" i="3"/>
  <c r="R26" i="3"/>
  <c r="R10" i="3"/>
  <c r="R425" i="3"/>
  <c r="R409" i="3"/>
  <c r="R393" i="3"/>
  <c r="R377" i="3"/>
  <c r="R361" i="3"/>
  <c r="R345" i="3"/>
  <c r="R329" i="3"/>
  <c r="R313" i="3"/>
  <c r="R297" i="3"/>
  <c r="R281" i="3"/>
  <c r="R265" i="3"/>
  <c r="R249" i="3"/>
  <c r="R233" i="3"/>
  <c r="R217" i="3"/>
  <c r="R201" i="3"/>
  <c r="R185" i="3"/>
  <c r="R169" i="3"/>
  <c r="R153" i="3"/>
  <c r="R137" i="3"/>
  <c r="R121" i="3"/>
  <c r="R105" i="3"/>
  <c r="R89" i="3"/>
  <c r="R73" i="3"/>
  <c r="R57" i="3"/>
  <c r="R41" i="3"/>
  <c r="R25" i="3"/>
  <c r="R9" i="3"/>
  <c r="R420" i="3"/>
  <c r="R404" i="3"/>
  <c r="R388" i="3"/>
  <c r="R372" i="3"/>
  <c r="R356" i="3"/>
  <c r="R340" i="3"/>
  <c r="R324" i="3"/>
  <c r="R308" i="3"/>
  <c r="R292" i="3"/>
  <c r="R276" i="3"/>
  <c r="R260" i="3"/>
  <c r="R244" i="3"/>
  <c r="R228" i="3"/>
  <c r="R212" i="3"/>
  <c r="R196" i="3"/>
  <c r="R180" i="3"/>
  <c r="R164" i="3"/>
  <c r="R148" i="3"/>
  <c r="R132" i="3"/>
  <c r="R116" i="3"/>
  <c r="R100" i="3"/>
  <c r="R84" i="3"/>
  <c r="R68" i="3"/>
  <c r="R52" i="3"/>
  <c r="R36" i="3"/>
  <c r="R20" i="3"/>
  <c r="R4" i="3"/>
  <c r="R427" i="3"/>
  <c r="R411" i="3"/>
  <c r="R395" i="3"/>
  <c r="R379" i="3"/>
  <c r="R363" i="3"/>
  <c r="R347" i="3"/>
  <c r="R331" i="3"/>
  <c r="R315" i="3"/>
  <c r="R299" i="3"/>
  <c r="R283" i="3"/>
  <c r="R267" i="3"/>
  <c r="R251" i="3"/>
  <c r="R235" i="3"/>
  <c r="R219" i="3"/>
  <c r="R203" i="3"/>
  <c r="R187" i="3"/>
  <c r="R171" i="3"/>
  <c r="R155" i="3"/>
  <c r="R139" i="3"/>
  <c r="R123" i="3"/>
  <c r="R107" i="3"/>
  <c r="R91" i="3"/>
  <c r="R75" i="3"/>
  <c r="R59" i="3"/>
  <c r="R43" i="3"/>
  <c r="R27" i="3"/>
  <c r="R11" i="3"/>
  <c r="R398" i="3"/>
  <c r="R366" i="3"/>
  <c r="R334" i="3"/>
  <c r="R302" i="3"/>
  <c r="R270" i="3"/>
  <c r="R238" i="3"/>
  <c r="R190" i="3"/>
  <c r="R158" i="3"/>
  <c r="R126" i="3"/>
  <c r="R78" i="3"/>
  <c r="R429" i="3"/>
  <c r="R397" i="3"/>
  <c r="R365" i="3"/>
  <c r="R333" i="3"/>
  <c r="R301" i="3"/>
  <c r="R269" i="3"/>
  <c r="R237" i="3"/>
  <c r="R205" i="3"/>
  <c r="R157" i="3"/>
  <c r="R125" i="3"/>
  <c r="R77" i="3"/>
  <c r="R408" i="3"/>
  <c r="R376" i="3"/>
  <c r="R344" i="3"/>
  <c r="R312" i="3"/>
  <c r="R280" i="3"/>
  <c r="R248" i="3"/>
  <c r="R216" i="3"/>
  <c r="R184" i="3"/>
  <c r="R152" i="3"/>
  <c r="R120" i="3"/>
  <c r="R72" i="3"/>
  <c r="R431" i="3"/>
  <c r="R399" i="3"/>
  <c r="R367" i="3"/>
  <c r="R335" i="3"/>
  <c r="R303" i="3"/>
  <c r="R271" i="3"/>
  <c r="R239" i="3"/>
  <c r="R207" i="3"/>
  <c r="R175" i="3"/>
  <c r="R143" i="3"/>
  <c r="R111" i="3"/>
  <c r="R63" i="3"/>
  <c r="R422" i="3"/>
  <c r="R406" i="3"/>
  <c r="R390" i="3"/>
  <c r="R374" i="3"/>
  <c r="R358" i="3"/>
  <c r="R342" i="3"/>
  <c r="R326" i="3"/>
  <c r="R310" i="3"/>
  <c r="R294" i="3"/>
  <c r="R278" i="3"/>
  <c r="R262" i="3"/>
  <c r="R246" i="3"/>
  <c r="R230" i="3"/>
  <c r="R214" i="3"/>
  <c r="R198" i="3"/>
  <c r="R182" i="3"/>
  <c r="R166" i="3"/>
  <c r="R150" i="3"/>
  <c r="R134" i="3"/>
  <c r="R118" i="3"/>
  <c r="R102" i="3"/>
  <c r="R86" i="3"/>
  <c r="R70" i="3"/>
  <c r="R54" i="3"/>
  <c r="R38" i="3"/>
  <c r="R22" i="3"/>
  <c r="R6" i="3"/>
  <c r="R421" i="3"/>
  <c r="R405" i="3"/>
  <c r="R389" i="3"/>
  <c r="R373" i="3"/>
  <c r="R357" i="3"/>
  <c r="R341" i="3"/>
  <c r="R325" i="3"/>
  <c r="R309" i="3"/>
  <c r="R293" i="3"/>
  <c r="R277" i="3"/>
  <c r="R261" i="3"/>
  <c r="R245" i="3"/>
  <c r="R229" i="3"/>
  <c r="R213" i="3"/>
  <c r="R197" i="3"/>
  <c r="R181" i="3"/>
  <c r="R165" i="3"/>
  <c r="R149" i="3"/>
  <c r="R133" i="3"/>
  <c r="R117" i="3"/>
  <c r="R101" i="3"/>
  <c r="R85" i="3"/>
  <c r="R69" i="3"/>
  <c r="R53" i="3"/>
  <c r="R37" i="3"/>
  <c r="R21" i="3"/>
  <c r="R5" i="3"/>
  <c r="R416" i="3"/>
  <c r="R400" i="3"/>
  <c r="R384" i="3"/>
  <c r="R368" i="3"/>
  <c r="R352" i="3"/>
  <c r="R336" i="3"/>
  <c r="R320" i="3"/>
  <c r="R304" i="3"/>
  <c r="R288" i="3"/>
  <c r="R272" i="3"/>
  <c r="R256" i="3"/>
  <c r="R240" i="3"/>
  <c r="R224" i="3"/>
  <c r="R208" i="3"/>
  <c r="R192" i="3"/>
  <c r="R176" i="3"/>
  <c r="R160" i="3"/>
  <c r="R144" i="3"/>
  <c r="R128" i="3"/>
  <c r="R112" i="3"/>
  <c r="R96" i="3"/>
  <c r="R80" i="3"/>
  <c r="R64" i="3"/>
  <c r="R48" i="3"/>
  <c r="R32" i="3"/>
  <c r="R16" i="3"/>
  <c r="R423" i="3"/>
  <c r="R407" i="3"/>
  <c r="R391" i="3"/>
  <c r="R375" i="3"/>
  <c r="R359" i="3"/>
  <c r="R343" i="3"/>
  <c r="R327" i="3"/>
  <c r="R311" i="3"/>
  <c r="R295" i="3"/>
  <c r="R279" i="3"/>
  <c r="R263" i="3"/>
  <c r="R247" i="3"/>
  <c r="R231" i="3"/>
  <c r="R215" i="3"/>
  <c r="R199" i="3"/>
  <c r="R183" i="3"/>
  <c r="R167" i="3"/>
  <c r="R151" i="3"/>
  <c r="R135" i="3"/>
  <c r="R119" i="3"/>
  <c r="R103" i="3"/>
  <c r="R87" i="3"/>
  <c r="R71" i="3"/>
  <c r="R55" i="3"/>
  <c r="R39" i="3"/>
  <c r="R23" i="3"/>
  <c r="R7" i="3"/>
  <c r="D439" i="3"/>
  <c r="M437" i="3" l="1"/>
  <c r="M436" i="3"/>
  <c r="M434" i="3"/>
  <c r="M435" i="3"/>
  <c r="M438" i="3"/>
  <c r="T434" i="3"/>
  <c r="T436" i="3"/>
  <c r="U416" i="3"/>
  <c r="T437" i="3"/>
  <c r="U38" i="3"/>
  <c r="U34" i="3"/>
  <c r="U13" i="3"/>
  <c r="U40" i="3"/>
  <c r="U26" i="3"/>
  <c r="U83" i="3"/>
  <c r="U30" i="3"/>
  <c r="U25" i="3"/>
  <c r="U407" i="3"/>
  <c r="U21" i="3"/>
  <c r="U41" i="3"/>
  <c r="U415" i="3"/>
  <c r="U42" i="3"/>
  <c r="U24" i="3"/>
  <c r="U32" i="3"/>
  <c r="U428" i="3"/>
  <c r="U39" i="3"/>
  <c r="U414" i="3"/>
  <c r="U22" i="3"/>
  <c r="T435" i="3"/>
  <c r="T438" i="3"/>
  <c r="L439" i="3"/>
  <c r="U229" i="3" s="1"/>
  <c r="U412" i="3"/>
  <c r="U427" i="3"/>
  <c r="U372" i="3"/>
  <c r="U301" i="3"/>
  <c r="U300" i="3"/>
  <c r="U19" i="3"/>
  <c r="U93" i="3"/>
  <c r="U147" i="3"/>
  <c r="U429" i="3"/>
  <c r="U424" i="3"/>
  <c r="U107" i="3"/>
  <c r="U29" i="3"/>
  <c r="U357" i="3"/>
  <c r="U425" i="3"/>
  <c r="U362" i="3"/>
  <c r="U23" i="3"/>
  <c r="U335" i="3"/>
  <c r="U403" i="3"/>
  <c r="U44" i="3"/>
  <c r="U388" i="3"/>
  <c r="U421" i="3"/>
  <c r="U334" i="3"/>
  <c r="U307" i="3"/>
  <c r="U28" i="3"/>
  <c r="U33" i="3"/>
  <c r="U237" i="3"/>
  <c r="U393" i="3"/>
  <c r="U27" i="3"/>
  <c r="U343" i="3"/>
  <c r="U371" i="3"/>
  <c r="U419" i="3"/>
  <c r="U35" i="3"/>
  <c r="U36" i="3"/>
  <c r="U364" i="3"/>
  <c r="U37" i="3"/>
  <c r="U409" i="3"/>
  <c r="U402" i="3"/>
  <c r="U31" i="3"/>
  <c r="U109" i="3"/>
  <c r="U333" i="3"/>
  <c r="U418" i="3"/>
  <c r="U363" i="3"/>
  <c r="U426" i="3"/>
  <c r="S438" i="3"/>
  <c r="O437" i="3"/>
  <c r="P437" i="3"/>
  <c r="Q435" i="3"/>
  <c r="N436" i="3"/>
  <c r="Q437" i="3"/>
  <c r="Q438" i="3"/>
  <c r="Q436" i="3"/>
  <c r="O436" i="3"/>
  <c r="S437" i="3"/>
  <c r="O435" i="3"/>
  <c r="R438" i="3"/>
  <c r="P434" i="3"/>
  <c r="Q434" i="3"/>
  <c r="R435" i="3"/>
  <c r="R436" i="3"/>
  <c r="P435" i="3"/>
  <c r="O438" i="3"/>
  <c r="R437" i="3"/>
  <c r="P438" i="3"/>
  <c r="R434" i="3"/>
  <c r="N434" i="3"/>
  <c r="S434" i="3"/>
  <c r="P436" i="3"/>
  <c r="O434" i="3"/>
  <c r="S435" i="3"/>
  <c r="N435" i="3"/>
  <c r="N437" i="3"/>
  <c r="S436" i="3"/>
  <c r="N438" i="3"/>
  <c r="M439" i="3"/>
  <c r="U205" i="3" l="1"/>
  <c r="U184" i="3"/>
  <c r="U347" i="3"/>
  <c r="U165" i="3"/>
  <c r="U395" i="3"/>
  <c r="U284" i="3"/>
  <c r="U142" i="3"/>
  <c r="U143" i="3"/>
  <c r="U368" i="3"/>
  <c r="U338" i="3"/>
  <c r="U204" i="3"/>
  <c r="U174" i="3"/>
  <c r="U199" i="3"/>
  <c r="U72" i="3"/>
  <c r="U324" i="3"/>
  <c r="U203" i="3"/>
  <c r="U321" i="3"/>
  <c r="U200" i="3"/>
  <c r="U367" i="3"/>
  <c r="U160" i="3"/>
  <c r="U325" i="3"/>
  <c r="U187" i="3"/>
  <c r="U318" i="3"/>
  <c r="U81" i="3"/>
  <c r="U241" i="3"/>
  <c r="U351" i="3"/>
  <c r="U144" i="3"/>
  <c r="U146" i="3"/>
  <c r="U411" i="3"/>
  <c r="U387" i="3"/>
  <c r="U190" i="3"/>
  <c r="U254" i="3"/>
  <c r="T439" i="3"/>
  <c r="U218" i="3"/>
  <c r="U11" i="3"/>
  <c r="P439" i="3"/>
  <c r="U295" i="3"/>
  <c r="U244" i="3"/>
  <c r="U378" i="3"/>
  <c r="U340" i="3"/>
  <c r="U233" i="3"/>
  <c r="U80" i="3"/>
  <c r="U101" i="3"/>
  <c r="U82" i="3"/>
  <c r="U88" i="3"/>
  <c r="U62" i="3"/>
  <c r="U413" i="3"/>
  <c r="U360" i="3"/>
  <c r="U382" i="3"/>
  <c r="U46" i="3"/>
  <c r="U10" i="3"/>
  <c r="U310" i="3"/>
  <c r="U397" i="3"/>
  <c r="U350" i="3"/>
  <c r="U220" i="3"/>
  <c r="U223" i="3"/>
  <c r="U379" i="3"/>
  <c r="U159" i="3"/>
  <c r="U308" i="3"/>
  <c r="U288" i="3"/>
  <c r="U261" i="3"/>
  <c r="U226" i="3"/>
  <c r="U267" i="3"/>
  <c r="U49" i="3"/>
  <c r="U195" i="3"/>
  <c r="U67" i="3"/>
  <c r="U381" i="3"/>
  <c r="U355" i="3"/>
  <c r="U99" i="3"/>
  <c r="U214" i="3"/>
  <c r="U314" i="3"/>
  <c r="U43" i="3"/>
  <c r="U227" i="3"/>
  <c r="U222" i="3"/>
  <c r="U410" i="3"/>
  <c r="U423" i="3"/>
  <c r="U420" i="3"/>
  <c r="U422" i="3"/>
  <c r="U430" i="3"/>
  <c r="U376" i="3"/>
  <c r="U186" i="3"/>
  <c r="U332" i="3"/>
  <c r="U275" i="3"/>
  <c r="U253" i="3"/>
  <c r="U55" i="3"/>
  <c r="U157" i="3"/>
  <c r="U291" i="3"/>
  <c r="U221" i="3"/>
  <c r="U272" i="3"/>
  <c r="U339" i="3"/>
  <c r="U256" i="3"/>
  <c r="U230" i="3"/>
  <c r="U202" i="3"/>
  <c r="U232" i="3"/>
  <c r="U231" i="3"/>
  <c r="U219" i="3"/>
  <c r="U224" i="3"/>
  <c r="U84" i="3"/>
  <c r="U228" i="3"/>
  <c r="U225" i="3"/>
  <c r="U20" i="3"/>
  <c r="U61" i="3"/>
  <c r="U234" i="3"/>
  <c r="U265" i="3"/>
  <c r="U191" i="3"/>
  <c r="U113" i="3"/>
  <c r="U158" i="3"/>
  <c r="U290" i="3"/>
  <c r="U69" i="3"/>
  <c r="U394" i="3"/>
  <c r="U108" i="3"/>
  <c r="U377" i="3"/>
  <c r="U400" i="3"/>
  <c r="U163" i="3"/>
  <c r="U104" i="3"/>
  <c r="U328" i="3"/>
  <c r="U257" i="3"/>
  <c r="U263" i="3"/>
  <c r="U385" i="3"/>
  <c r="U327" i="3"/>
  <c r="U398" i="3"/>
  <c r="U14" i="3"/>
  <c r="U312" i="3"/>
  <c r="U259" i="3"/>
  <c r="U330" i="3"/>
  <c r="U94" i="3"/>
  <c r="U273" i="3"/>
  <c r="U17" i="3"/>
  <c r="U252" i="3"/>
  <c r="U12" i="3"/>
  <c r="U346" i="3"/>
  <c r="U58" i="3"/>
  <c r="U129" i="3"/>
  <c r="U279" i="3"/>
  <c r="U71" i="3"/>
  <c r="U266" i="3"/>
  <c r="U417" i="3"/>
  <c r="U141" i="3"/>
  <c r="U392" i="3"/>
  <c r="U172" i="3"/>
  <c r="U8" i="3"/>
  <c r="U299" i="3"/>
  <c r="U171" i="3"/>
  <c r="U75" i="3"/>
  <c r="U370" i="3"/>
  <c r="U242" i="3"/>
  <c r="U130" i="3"/>
  <c r="U50" i="3"/>
  <c r="U341" i="3"/>
  <c r="U133" i="3"/>
  <c r="U5" i="3"/>
  <c r="U112" i="3"/>
  <c r="U16" i="3"/>
  <c r="U399" i="3"/>
  <c r="U287" i="3"/>
  <c r="U95" i="3"/>
  <c r="U15" i="3"/>
  <c r="U374" i="3"/>
  <c r="U262" i="3"/>
  <c r="U182" i="3"/>
  <c r="U118" i="3"/>
  <c r="U6" i="3"/>
  <c r="U313" i="3"/>
  <c r="U217" i="3"/>
  <c r="U153" i="3"/>
  <c r="U89" i="3"/>
  <c r="U9" i="3"/>
  <c r="U260" i="3"/>
  <c r="U180" i="3"/>
  <c r="U116" i="3"/>
  <c r="U52" i="3"/>
  <c r="U337" i="3"/>
  <c r="U240" i="3"/>
  <c r="U356" i="3"/>
  <c r="U248" i="3"/>
  <c r="U375" i="3"/>
  <c r="U183" i="3"/>
  <c r="U353" i="3"/>
  <c r="U396" i="3"/>
  <c r="U96" i="3"/>
  <c r="U383" i="3"/>
  <c r="U264" i="3"/>
  <c r="U210" i="3"/>
  <c r="U245" i="3"/>
  <c r="U119" i="3"/>
  <c r="U348" i="3"/>
  <c r="U140" i="3"/>
  <c r="U270" i="3"/>
  <c r="U211" i="3"/>
  <c r="U51" i="3"/>
  <c r="U77" i="3"/>
  <c r="U92" i="3"/>
  <c r="U4" i="3"/>
  <c r="U87" i="3"/>
  <c r="U175" i="3"/>
  <c r="U401" i="3"/>
  <c r="U359" i="3"/>
  <c r="U65" i="3"/>
  <c r="U294" i="3"/>
  <c r="U97" i="3"/>
  <c r="U60" i="3"/>
  <c r="U188" i="3"/>
  <c r="U170" i="3"/>
  <c r="U285" i="3"/>
  <c r="U349" i="3"/>
  <c r="U280" i="3"/>
  <c r="U250" i="3"/>
  <c r="U216" i="3"/>
  <c r="U151" i="3"/>
  <c r="U206" i="3"/>
  <c r="U161" i="3"/>
  <c r="U391" i="3"/>
  <c r="U179" i="3"/>
  <c r="U238" i="3"/>
  <c r="U365" i="3"/>
  <c r="U177" i="3"/>
  <c r="U380" i="3"/>
  <c r="U156" i="3"/>
  <c r="U167" i="3"/>
  <c r="U289" i="3"/>
  <c r="U168" i="3"/>
  <c r="U215" i="3"/>
  <c r="U302" i="3"/>
  <c r="U122" i="3"/>
  <c r="U268" i="3"/>
  <c r="U120" i="3"/>
  <c r="U331" i="3"/>
  <c r="U235" i="3"/>
  <c r="U123" i="3"/>
  <c r="U322" i="3"/>
  <c r="U178" i="3"/>
  <c r="U98" i="3"/>
  <c r="U405" i="3"/>
  <c r="U293" i="3"/>
  <c r="U181" i="3"/>
  <c r="U85" i="3"/>
  <c r="U320" i="3"/>
  <c r="U176" i="3"/>
  <c r="U64" i="3"/>
  <c r="U431" i="3"/>
  <c r="U319" i="3"/>
  <c r="U255" i="3"/>
  <c r="U127" i="3"/>
  <c r="U63" i="3"/>
  <c r="U406" i="3"/>
  <c r="U326" i="3"/>
  <c r="U150" i="3"/>
  <c r="U86" i="3"/>
  <c r="U345" i="3"/>
  <c r="U281" i="3"/>
  <c r="U185" i="3"/>
  <c r="U121" i="3"/>
  <c r="U57" i="3"/>
  <c r="U292" i="3"/>
  <c r="U212" i="3"/>
  <c r="U148" i="3"/>
  <c r="U208" i="3"/>
  <c r="U155" i="3"/>
  <c r="U306" i="3"/>
  <c r="U296" i="3"/>
  <c r="U373" i="3"/>
  <c r="U358" i="3"/>
  <c r="U103" i="3"/>
  <c r="U213" i="3"/>
  <c r="U283" i="3"/>
  <c r="U352" i="3"/>
  <c r="U70" i="3"/>
  <c r="U323" i="3"/>
  <c r="U74" i="3"/>
  <c r="U125" i="3"/>
  <c r="U317" i="3"/>
  <c r="U136" i="3"/>
  <c r="U78" i="3"/>
  <c r="U45" i="3"/>
  <c r="U311" i="3"/>
  <c r="U115" i="3"/>
  <c r="U126" i="3"/>
  <c r="U305" i="3"/>
  <c r="U145" i="3"/>
  <c r="U344" i="3"/>
  <c r="U124" i="3"/>
  <c r="U131" i="3"/>
  <c r="U193" i="3"/>
  <c r="U76" i="3"/>
  <c r="U135" i="3"/>
  <c r="U286" i="3"/>
  <c r="U90" i="3"/>
  <c r="U173" i="3"/>
  <c r="U56" i="3"/>
  <c r="U315" i="3"/>
  <c r="U91" i="3"/>
  <c r="U386" i="3"/>
  <c r="U258" i="3"/>
  <c r="U162" i="3"/>
  <c r="U66" i="3"/>
  <c r="U389" i="3"/>
  <c r="U277" i="3"/>
  <c r="U149" i="3"/>
  <c r="U53" i="3"/>
  <c r="U304" i="3"/>
  <c r="U128" i="3"/>
  <c r="U48" i="3"/>
  <c r="U303" i="3"/>
  <c r="U239" i="3"/>
  <c r="U111" i="3"/>
  <c r="U47" i="3"/>
  <c r="U390" i="3"/>
  <c r="U278" i="3"/>
  <c r="U198" i="3"/>
  <c r="U134" i="3"/>
  <c r="U54" i="3"/>
  <c r="U329" i="3"/>
  <c r="U249" i="3"/>
  <c r="U169" i="3"/>
  <c r="U105" i="3"/>
  <c r="U276" i="3"/>
  <c r="U196" i="3"/>
  <c r="U132" i="3"/>
  <c r="U68" i="3"/>
  <c r="U408" i="3"/>
  <c r="U59" i="3"/>
  <c r="U384" i="3"/>
  <c r="U274" i="3"/>
  <c r="U366" i="3"/>
  <c r="U369" i="3"/>
  <c r="U106" i="3"/>
  <c r="U138" i="3"/>
  <c r="U189" i="3"/>
  <c r="U243" i="3"/>
  <c r="U282" i="3"/>
  <c r="U7" i="3"/>
  <c r="U209" i="3"/>
  <c r="U236" i="3"/>
  <c r="U298" i="3"/>
  <c r="U247" i="3"/>
  <c r="U154" i="3"/>
  <c r="U269" i="3"/>
  <c r="U316" i="3"/>
  <c r="U152" i="3"/>
  <c r="U251" i="3"/>
  <c r="U139" i="3"/>
  <c r="U354" i="3"/>
  <c r="U194" i="3"/>
  <c r="U114" i="3"/>
  <c r="U18" i="3"/>
  <c r="U309" i="3"/>
  <c r="U197" i="3"/>
  <c r="U117" i="3"/>
  <c r="U336" i="3"/>
  <c r="U192" i="3"/>
  <c r="U207" i="3"/>
  <c r="U246" i="3"/>
  <c r="U361" i="3"/>
  <c r="U73" i="3"/>
  <c r="U164" i="3"/>
  <c r="U79" i="3"/>
  <c r="U297" i="3"/>
  <c r="U100" i="3"/>
  <c r="U271" i="3"/>
  <c r="U166" i="3"/>
  <c r="U201" i="3"/>
  <c r="U404" i="3"/>
  <c r="U342" i="3"/>
  <c r="U102" i="3"/>
  <c r="U137" i="3"/>
  <c r="R439" i="3"/>
  <c r="Q439" i="3"/>
  <c r="Z360" i="3" s="1"/>
  <c r="S439" i="3"/>
  <c r="AB374" i="3" s="1"/>
  <c r="N439" i="3"/>
  <c r="W395" i="3" s="1"/>
  <c r="O439" i="3"/>
  <c r="X78" i="3" s="1"/>
  <c r="Z105" i="3"/>
  <c r="Z331" i="3"/>
  <c r="Z146" i="3"/>
  <c r="Z410" i="3"/>
  <c r="Z341" i="3"/>
  <c r="Z179" i="3"/>
  <c r="Z43" i="3"/>
  <c r="Z276" i="3"/>
  <c r="Z197" i="3"/>
  <c r="Z61" i="3"/>
  <c r="Z350" i="3"/>
  <c r="Z239" i="3"/>
  <c r="Z97" i="3"/>
  <c r="W335" i="3"/>
  <c r="W95" i="3" l="1"/>
  <c r="W8" i="3"/>
  <c r="Z145" i="3"/>
  <c r="Z13" i="3"/>
  <c r="Z279" i="3"/>
  <c r="Z101" i="3"/>
  <c r="Z425" i="3"/>
  <c r="Z251" i="3"/>
  <c r="Z65" i="3"/>
  <c r="Z230" i="3"/>
  <c r="Z62" i="3"/>
  <c r="Z364" i="3"/>
  <c r="Z227" i="3"/>
  <c r="Z107" i="3"/>
  <c r="Z19" i="3"/>
  <c r="W427" i="3"/>
  <c r="Z23" i="3"/>
  <c r="Z212" i="3"/>
  <c r="Z405" i="3"/>
  <c r="Z115" i="3"/>
  <c r="Z395" i="3"/>
  <c r="Z108" i="3"/>
  <c r="Z322" i="3"/>
  <c r="Z114" i="3"/>
  <c r="Z18" i="3"/>
  <c r="Z188" i="3"/>
  <c r="Z70" i="3"/>
  <c r="Z250" i="3"/>
  <c r="Z166" i="3"/>
  <c r="Z84" i="3"/>
  <c r="Z296" i="3"/>
  <c r="Z190" i="3"/>
  <c r="Z49" i="3"/>
  <c r="Z377" i="3"/>
  <c r="Z277" i="3"/>
  <c r="Z121" i="3"/>
  <c r="Z11" i="3"/>
  <c r="Z340" i="3"/>
  <c r="Z229" i="3"/>
  <c r="Z126" i="3"/>
  <c r="Z422" i="3"/>
  <c r="Z286" i="3"/>
  <c r="Z191" i="3"/>
  <c r="Z88" i="3"/>
  <c r="Z136" i="3"/>
  <c r="Z289" i="3"/>
  <c r="Z353" i="3"/>
  <c r="Z154" i="3"/>
  <c r="Z343" i="3"/>
  <c r="Z428" i="3"/>
  <c r="Z200" i="3"/>
  <c r="Z258" i="3"/>
  <c r="Z46" i="3"/>
  <c r="Z201" i="3"/>
  <c r="Z368" i="3"/>
  <c r="U436" i="3"/>
  <c r="U437" i="3"/>
  <c r="U435" i="3"/>
  <c r="U434" i="3"/>
  <c r="U438" i="3"/>
  <c r="AB276" i="3"/>
  <c r="AB174" i="3"/>
  <c r="AB421" i="3"/>
  <c r="Z39" i="3"/>
  <c r="Z72" i="3"/>
  <c r="Z113" i="3"/>
  <c r="Z159" i="3"/>
  <c r="Z273" i="3"/>
  <c r="Z254" i="3"/>
  <c r="Z351" i="3"/>
  <c r="Z406" i="3"/>
  <c r="Z45" i="3"/>
  <c r="Z78" i="3"/>
  <c r="Z186" i="3"/>
  <c r="Z213" i="3"/>
  <c r="Z311" i="3"/>
  <c r="Z324" i="3"/>
  <c r="Z411" i="3"/>
  <c r="Z8" i="3"/>
  <c r="Z85" i="3"/>
  <c r="Z140" i="3"/>
  <c r="Z216" i="3"/>
  <c r="Z244" i="3"/>
  <c r="Z238" i="3"/>
  <c r="Z354" i="3"/>
  <c r="Z394" i="3"/>
  <c r="Z17" i="3"/>
  <c r="Z66" i="3"/>
  <c r="Z174" i="3"/>
  <c r="Z233" i="3"/>
  <c r="Z218" i="3"/>
  <c r="Z399" i="3"/>
  <c r="Z77" i="3"/>
  <c r="Z80" i="3"/>
  <c r="Z407" i="3"/>
  <c r="Z255" i="3"/>
  <c r="X308" i="3"/>
  <c r="Z7" i="3"/>
  <c r="Z81" i="3"/>
  <c r="Z104" i="3"/>
  <c r="Z196" i="3"/>
  <c r="Z223" i="3"/>
  <c r="Z305" i="3"/>
  <c r="Z318" i="3"/>
  <c r="Z421" i="3"/>
  <c r="Z26" i="3"/>
  <c r="Z103" i="3"/>
  <c r="Z142" i="3"/>
  <c r="Z147" i="3"/>
  <c r="Z263" i="3"/>
  <c r="Z260" i="3"/>
  <c r="Z356" i="3"/>
  <c r="Z396" i="3"/>
  <c r="Z27" i="3"/>
  <c r="Z76" i="3"/>
  <c r="Z184" i="3"/>
  <c r="Z195" i="3"/>
  <c r="Z293" i="3"/>
  <c r="Z306" i="3"/>
  <c r="Z409" i="3"/>
  <c r="Z426" i="3"/>
  <c r="Z75" i="3"/>
  <c r="Z130" i="3"/>
  <c r="Z153" i="3"/>
  <c r="Z315" i="3"/>
  <c r="Z328" i="3"/>
  <c r="Z384" i="3"/>
  <c r="Z73" i="3"/>
  <c r="Z423" i="3"/>
  <c r="Z36" i="3"/>
  <c r="Z55" i="3"/>
  <c r="Z52" i="3"/>
  <c r="Z120" i="3"/>
  <c r="Z180" i="3"/>
  <c r="Z175" i="3"/>
  <c r="Z236" i="3"/>
  <c r="Z337" i="3"/>
  <c r="Z302" i="3"/>
  <c r="Z373" i="3"/>
  <c r="Z390" i="3"/>
  <c r="Z42" i="3"/>
  <c r="Z71" i="3"/>
  <c r="Z110" i="3"/>
  <c r="Z170" i="3"/>
  <c r="Z165" i="3"/>
  <c r="Z247" i="3"/>
  <c r="Z327" i="3"/>
  <c r="Z292" i="3"/>
  <c r="Z379" i="3"/>
  <c r="Z380" i="3"/>
  <c r="Z24" i="3"/>
  <c r="Z69" i="3"/>
  <c r="Z92" i="3"/>
  <c r="Z152" i="3"/>
  <c r="Z163" i="3"/>
  <c r="Z243" i="3"/>
  <c r="Z309" i="3"/>
  <c r="Z290" i="3"/>
  <c r="Z359" i="3"/>
  <c r="Z361" i="3"/>
  <c r="Z30" i="3"/>
  <c r="Z54" i="3"/>
  <c r="Z82" i="3"/>
  <c r="Z158" i="3"/>
  <c r="Z169" i="3"/>
  <c r="Z267" i="3"/>
  <c r="Z280" i="3"/>
  <c r="Z383" i="3"/>
  <c r="Z400" i="3"/>
  <c r="Z28" i="3"/>
  <c r="Z67" i="3"/>
  <c r="Z358" i="3"/>
  <c r="Z127" i="3"/>
  <c r="X52" i="3"/>
  <c r="Z138" i="3"/>
  <c r="Z398" i="3"/>
  <c r="Z48" i="3"/>
  <c r="Z266" i="3"/>
  <c r="Z252" i="3"/>
  <c r="Z95" i="3"/>
  <c r="X310" i="3"/>
  <c r="Z228" i="3"/>
  <c r="Z288" i="3"/>
  <c r="Z64" i="3"/>
  <c r="Z131" i="3"/>
  <c r="Z429" i="3"/>
  <c r="Z38" i="3"/>
  <c r="Z291" i="3"/>
  <c r="Z382" i="3"/>
  <c r="AB273" i="3"/>
  <c r="AB341" i="3"/>
  <c r="AB381" i="3"/>
  <c r="AB16" i="3"/>
  <c r="AB252" i="3"/>
  <c r="AB96" i="3"/>
  <c r="AB268" i="3"/>
  <c r="AB177" i="3"/>
  <c r="AB356" i="3"/>
  <c r="AB10" i="3"/>
  <c r="AB11" i="3"/>
  <c r="AB375" i="3"/>
  <c r="AB38" i="3"/>
  <c r="AB149" i="3"/>
  <c r="AB267" i="3"/>
  <c r="AB396" i="3"/>
  <c r="AB286" i="3"/>
  <c r="AB281" i="3"/>
  <c r="AB53" i="3"/>
  <c r="AB304" i="3"/>
  <c r="AB373" i="3"/>
  <c r="AB280" i="3"/>
  <c r="AB278" i="3"/>
  <c r="AB132" i="3"/>
  <c r="AB127" i="3"/>
  <c r="AB56" i="3"/>
  <c r="AB401" i="3"/>
  <c r="AB397" i="3"/>
  <c r="AB290" i="3"/>
  <c r="AB168" i="3"/>
  <c r="X333" i="3"/>
  <c r="X212" i="3"/>
  <c r="X280" i="3"/>
  <c r="X141" i="3"/>
  <c r="X106" i="3"/>
  <c r="X19" i="3"/>
  <c r="X206" i="3"/>
  <c r="X175" i="3"/>
  <c r="X200" i="3"/>
  <c r="X382" i="3"/>
  <c r="X83" i="3"/>
  <c r="X327" i="3"/>
  <c r="X421" i="3"/>
  <c r="X275" i="3"/>
  <c r="X235" i="3"/>
  <c r="X346" i="3"/>
  <c r="X193" i="3"/>
  <c r="X73" i="3"/>
  <c r="X13" i="3"/>
  <c r="X322" i="3"/>
  <c r="X8" i="3"/>
  <c r="X75" i="3"/>
  <c r="X358" i="3"/>
  <c r="X281" i="3"/>
  <c r="X176" i="3"/>
  <c r="X329" i="3"/>
  <c r="Z20" i="3"/>
  <c r="Z12" i="3"/>
  <c r="Z232" i="3"/>
  <c r="Z172" i="3"/>
  <c r="Z37" i="3"/>
  <c r="Z304" i="3"/>
  <c r="Z177" i="3"/>
  <c r="Z83" i="3"/>
  <c r="Z385" i="3"/>
  <c r="Z253" i="3"/>
  <c r="Z116" i="3"/>
  <c r="Z336" i="3"/>
  <c r="Z209" i="3"/>
  <c r="Z56" i="3"/>
  <c r="Z417" i="3"/>
  <c r="Z285" i="3"/>
  <c r="Z148" i="3"/>
  <c r="Z388" i="3"/>
  <c r="Z335" i="3"/>
  <c r="Z178" i="3"/>
  <c r="Z5" i="3"/>
  <c r="Z310" i="3"/>
  <c r="Z183" i="3"/>
  <c r="Z31" i="3"/>
  <c r="Z372" i="3"/>
  <c r="Z332" i="3"/>
  <c r="Z319" i="3"/>
  <c r="Z205" i="3"/>
  <c r="Z162" i="3"/>
  <c r="Z111" i="3"/>
  <c r="Z34" i="3"/>
  <c r="Z413" i="3"/>
  <c r="Z294" i="3"/>
  <c r="Z281" i="3"/>
  <c r="Z167" i="3"/>
  <c r="Z144" i="3"/>
  <c r="Z44" i="3"/>
  <c r="Z392" i="3"/>
  <c r="Z352" i="3"/>
  <c r="Z339" i="3"/>
  <c r="Z225" i="3"/>
  <c r="Z182" i="3"/>
  <c r="Z74" i="3"/>
  <c r="Z9" i="3"/>
  <c r="Z4" i="3"/>
  <c r="Z314" i="3"/>
  <c r="Z301" i="3"/>
  <c r="Z187" i="3"/>
  <c r="Z137" i="3"/>
  <c r="Z35" i="3"/>
  <c r="Z47" i="3"/>
  <c r="Z109" i="3"/>
  <c r="Z32" i="3"/>
  <c r="Z416" i="3"/>
  <c r="Z431" i="3"/>
  <c r="Z367" i="3"/>
  <c r="Z312" i="3"/>
  <c r="Z248" i="3"/>
  <c r="Z299" i="3"/>
  <c r="Z224" i="3"/>
  <c r="Z185" i="3"/>
  <c r="Z206" i="3"/>
  <c r="Z133" i="3"/>
  <c r="Z98" i="3"/>
  <c r="Z91" i="3"/>
  <c r="Z33" i="3"/>
  <c r="Z14" i="3"/>
  <c r="Z378" i="3"/>
  <c r="Z393" i="3"/>
  <c r="Z338" i="3"/>
  <c r="Z274" i="3"/>
  <c r="Z325" i="3"/>
  <c r="Z261" i="3"/>
  <c r="Z211" i="3"/>
  <c r="Z143" i="3"/>
  <c r="Z168" i="3"/>
  <c r="Z124" i="3"/>
  <c r="Z60" i="3"/>
  <c r="Z59" i="3"/>
  <c r="Z40" i="3"/>
  <c r="Z412" i="3"/>
  <c r="Z427" i="3"/>
  <c r="Z363" i="3"/>
  <c r="Z308" i="3"/>
  <c r="Z242" i="3"/>
  <c r="Z295" i="3"/>
  <c r="Z245" i="3"/>
  <c r="Z181" i="3"/>
  <c r="Z202" i="3"/>
  <c r="Z125" i="3"/>
  <c r="Z94" i="3"/>
  <c r="Z87" i="3"/>
  <c r="Z29" i="3"/>
  <c r="Z10" i="3"/>
  <c r="Z374" i="3"/>
  <c r="Z389" i="3"/>
  <c r="Z334" i="3"/>
  <c r="Z270" i="3"/>
  <c r="Z321" i="3"/>
  <c r="Z257" i="3"/>
  <c r="Z207" i="3"/>
  <c r="Z135" i="3"/>
  <c r="Z164" i="3"/>
  <c r="Z397" i="3"/>
  <c r="Z316" i="3"/>
  <c r="Z303" i="3"/>
  <c r="Z102" i="3"/>
  <c r="Z420" i="3"/>
  <c r="Z342" i="3"/>
  <c r="Z408" i="3"/>
  <c r="Z234" i="3"/>
  <c r="Z198" i="3"/>
  <c r="Z25" i="3"/>
  <c r="Z330" i="3"/>
  <c r="Z203" i="3"/>
  <c r="Z58" i="3"/>
  <c r="Z272" i="3"/>
  <c r="Z139" i="3"/>
  <c r="Z57" i="3"/>
  <c r="Z362" i="3"/>
  <c r="Z235" i="3"/>
  <c r="Z68" i="3"/>
  <c r="Z403" i="3"/>
  <c r="Z271" i="3"/>
  <c r="Z134" i="3"/>
  <c r="Z414" i="3"/>
  <c r="Z246" i="3"/>
  <c r="Z204" i="3"/>
  <c r="Z419" i="3"/>
  <c r="Z300" i="3"/>
  <c r="Z287" i="3"/>
  <c r="Z173" i="3"/>
  <c r="Z150" i="3"/>
  <c r="Z79" i="3"/>
  <c r="Z430" i="3"/>
  <c r="Z381" i="3"/>
  <c r="Z262" i="3"/>
  <c r="Z249" i="3"/>
  <c r="Z119" i="3"/>
  <c r="Z112" i="3"/>
  <c r="Z357" i="3"/>
  <c r="Z320" i="3"/>
  <c r="Z307" i="3"/>
  <c r="Z193" i="3"/>
  <c r="Z149" i="3"/>
  <c r="Z99" i="3"/>
  <c r="Z22" i="3"/>
  <c r="Z401" i="3"/>
  <c r="Z282" i="3"/>
  <c r="Z269" i="3"/>
  <c r="Z155" i="3"/>
  <c r="Z132" i="3"/>
  <c r="Z16" i="3"/>
  <c r="Z128" i="3"/>
  <c r="Z278" i="3"/>
  <c r="Z265" i="3"/>
  <c r="Z151" i="3"/>
  <c r="Z371" i="3"/>
  <c r="Z329" i="3"/>
  <c r="Z210" i="3"/>
  <c r="Z89" i="3"/>
  <c r="Z355" i="3"/>
  <c r="Z241" i="3"/>
  <c r="Z90" i="3"/>
  <c r="Z370" i="3"/>
  <c r="Z317" i="3"/>
  <c r="Z160" i="3"/>
  <c r="Z391" i="3"/>
  <c r="Z259" i="3"/>
  <c r="Z122" i="3"/>
  <c r="Z402" i="3"/>
  <c r="Z222" i="3"/>
  <c r="Z192" i="3"/>
  <c r="Z284" i="3"/>
  <c r="Z157" i="3"/>
  <c r="Z63" i="3"/>
  <c r="Z365" i="3"/>
  <c r="Z220" i="3"/>
  <c r="Z96" i="3"/>
  <c r="Z404" i="3"/>
  <c r="Z347" i="3"/>
  <c r="Z226" i="3"/>
  <c r="Z237" i="3"/>
  <c r="Z194" i="3"/>
  <c r="Z86" i="3"/>
  <c r="Z21" i="3"/>
  <c r="Z366" i="3"/>
  <c r="Z326" i="3"/>
  <c r="Z313" i="3"/>
  <c r="Z199" i="3"/>
  <c r="Z156" i="3"/>
  <c r="Z50" i="3"/>
  <c r="Z424" i="3"/>
  <c r="Z375" i="3"/>
  <c r="Z256" i="3"/>
  <c r="Z240" i="3"/>
  <c r="Z214" i="3"/>
  <c r="Z106" i="3"/>
  <c r="Z41" i="3"/>
  <c r="Z386" i="3"/>
  <c r="Z346" i="3"/>
  <c r="Z333" i="3"/>
  <c r="Z219" i="3"/>
  <c r="Z176" i="3"/>
  <c r="Z93" i="3"/>
  <c r="Z100" i="3"/>
  <c r="Z369" i="3"/>
  <c r="Z161" i="3"/>
  <c r="Z231" i="3"/>
  <c r="Z53" i="3"/>
  <c r="Z268" i="3"/>
  <c r="Z129" i="3"/>
  <c r="Z221" i="3"/>
  <c r="Z171" i="3"/>
  <c r="Z323" i="3"/>
  <c r="Z6" i="3"/>
  <c r="X415" i="3"/>
  <c r="X268" i="3"/>
  <c r="Z349" i="3"/>
  <c r="Z123" i="3"/>
  <c r="Z217" i="3"/>
  <c r="Z283" i="3"/>
  <c r="Z264" i="3"/>
  <c r="Z344" i="3"/>
  <c r="Z415" i="3"/>
  <c r="Z51" i="3"/>
  <c r="Z15" i="3"/>
  <c r="Z208" i="3"/>
  <c r="Z418" i="3"/>
  <c r="Z275" i="3"/>
  <c r="Z345" i="3"/>
  <c r="Z118" i="3"/>
  <c r="Z387" i="3"/>
  <c r="Z297" i="3"/>
  <c r="Z348" i="3"/>
  <c r="Z298" i="3"/>
  <c r="Z376" i="3"/>
  <c r="Z117" i="3"/>
  <c r="Z215" i="3"/>
  <c r="Z141" i="3"/>
  <c r="Z189" i="3"/>
  <c r="X38" i="3"/>
  <c r="X347" i="3"/>
  <c r="X172" i="3"/>
  <c r="X120" i="3"/>
  <c r="AB230" i="3"/>
  <c r="AB107" i="3"/>
  <c r="AB302" i="3"/>
  <c r="AB277" i="3"/>
  <c r="AB313" i="3"/>
  <c r="AB153" i="3"/>
  <c r="AB61" i="3"/>
  <c r="AB242" i="3"/>
  <c r="AB222" i="3"/>
  <c r="AB146" i="3"/>
  <c r="AB120" i="3"/>
  <c r="AB415" i="3"/>
  <c r="AB55" i="3"/>
  <c r="AB37" i="3"/>
  <c r="AB413" i="3"/>
  <c r="AB265" i="3"/>
  <c r="AB409" i="3"/>
  <c r="AB229" i="3"/>
  <c r="AB427" i="3"/>
  <c r="AB83" i="3"/>
  <c r="AB378" i="3"/>
  <c r="AB237" i="3"/>
  <c r="AB294" i="3"/>
  <c r="AB289" i="3"/>
  <c r="AB253" i="3"/>
  <c r="AB405" i="3"/>
  <c r="AB354" i="3"/>
  <c r="AB297" i="3"/>
  <c r="AB330" i="3"/>
  <c r="AB399" i="3"/>
  <c r="AB130" i="3"/>
  <c r="AB78" i="3"/>
  <c r="AB295" i="3"/>
  <c r="AB301" i="3"/>
  <c r="AB106" i="3"/>
  <c r="AB323" i="3"/>
  <c r="AB298" i="3"/>
  <c r="AB164" i="3"/>
  <c r="AB167" i="3"/>
  <c r="AB76" i="3"/>
  <c r="W102" i="3"/>
  <c r="W143" i="3"/>
  <c r="W177" i="3"/>
  <c r="X413" i="3"/>
  <c r="X428" i="3"/>
  <c r="W348" i="3"/>
  <c r="W123" i="3"/>
  <c r="W18" i="3"/>
  <c r="W219" i="3"/>
  <c r="W293" i="3"/>
  <c r="W37" i="3"/>
  <c r="W212" i="3"/>
  <c r="W390" i="3"/>
  <c r="W85" i="3"/>
  <c r="W306" i="3"/>
  <c r="AB195" i="3"/>
  <c r="AB129" i="3"/>
  <c r="AB157" i="3"/>
  <c r="AB89" i="3"/>
  <c r="AB84" i="3"/>
  <c r="AB30" i="3"/>
  <c r="AB187" i="3"/>
  <c r="AB47" i="3"/>
  <c r="AB221" i="3"/>
  <c r="AB166" i="3"/>
  <c r="AB12" i="3"/>
  <c r="AB170" i="3"/>
  <c r="AB191" i="3"/>
  <c r="AB428" i="3"/>
  <c r="AB364" i="3"/>
  <c r="AB377" i="3"/>
  <c r="AB322" i="3"/>
  <c r="AB258" i="3"/>
  <c r="AB309" i="3"/>
  <c r="AB8" i="3"/>
  <c r="AB318" i="3"/>
  <c r="AB368" i="3"/>
  <c r="AB334" i="3"/>
  <c r="AB257" i="3"/>
  <c r="AB386" i="3"/>
  <c r="AB344" i="3"/>
  <c r="AB331" i="3"/>
  <c r="AB217" i="3"/>
  <c r="AB176" i="3"/>
  <c r="AB66" i="3"/>
  <c r="AB46" i="3"/>
  <c r="AB13" i="3"/>
  <c r="AB87" i="3"/>
  <c r="AB126" i="3"/>
  <c r="AB188" i="3"/>
  <c r="AB181" i="3"/>
  <c r="AB263" i="3"/>
  <c r="AB343" i="3"/>
  <c r="AB308" i="3"/>
  <c r="AB395" i="3"/>
  <c r="AB398" i="3"/>
  <c r="AB314" i="3"/>
  <c r="AB6" i="3"/>
  <c r="AB41" i="3"/>
  <c r="AB54" i="3"/>
  <c r="AB119" i="3"/>
  <c r="AB216" i="3"/>
  <c r="AB209" i="3"/>
  <c r="AB291" i="3"/>
  <c r="AB256" i="3"/>
  <c r="AB336" i="3"/>
  <c r="AB423" i="3"/>
  <c r="AB426" i="3"/>
  <c r="AB372" i="3"/>
  <c r="AB282" i="3"/>
  <c r="AB349" i="3"/>
  <c r="AB319" i="3"/>
  <c r="AB133" i="3"/>
  <c r="AB86" i="3"/>
  <c r="AB34" i="3"/>
  <c r="AB215" i="3"/>
  <c r="AB206" i="3"/>
  <c r="AB144" i="3"/>
  <c r="AB283" i="3"/>
  <c r="AB198" i="3"/>
  <c r="AB50" i="3"/>
  <c r="AB36" i="3"/>
  <c r="AB422" i="3"/>
  <c r="AB212" i="3"/>
  <c r="AB223" i="3"/>
  <c r="AB123" i="3"/>
  <c r="AB69" i="3"/>
  <c r="AB358" i="3"/>
  <c r="AB408" i="3"/>
  <c r="AB232" i="3"/>
  <c r="AB346" i="3"/>
  <c r="AB384" i="3"/>
  <c r="AB329" i="3"/>
  <c r="AB350" i="3"/>
  <c r="AB412" i="3"/>
  <c r="AB425" i="3"/>
  <c r="AB361" i="3"/>
  <c r="AB306" i="3"/>
  <c r="AB240" i="3"/>
  <c r="AB293" i="3"/>
  <c r="AB310" i="3"/>
  <c r="AB305" i="3"/>
  <c r="AB326" i="3"/>
  <c r="AB321" i="3"/>
  <c r="AB416" i="3"/>
  <c r="AB420" i="3"/>
  <c r="AB431" i="3"/>
  <c r="AB312" i="3"/>
  <c r="AB299" i="3"/>
  <c r="AB185" i="3"/>
  <c r="AB135" i="3"/>
  <c r="AB91" i="3"/>
  <c r="AB29" i="3"/>
  <c r="AB62" i="3"/>
  <c r="AB142" i="3"/>
  <c r="AB204" i="3"/>
  <c r="AB213" i="3"/>
  <c r="AB279" i="3"/>
  <c r="AB244" i="3"/>
  <c r="AB340" i="3"/>
  <c r="AB411" i="3"/>
  <c r="AB414" i="3"/>
  <c r="AB404" i="3"/>
  <c r="AB22" i="3"/>
  <c r="AB57" i="3"/>
  <c r="AB90" i="3"/>
  <c r="AB152" i="3"/>
  <c r="AB141" i="3"/>
  <c r="AB241" i="3"/>
  <c r="AB307" i="3"/>
  <c r="AB272" i="3"/>
  <c r="AB357" i="3"/>
  <c r="AB359" i="3"/>
  <c r="AB285" i="3"/>
  <c r="AB249" i="3"/>
  <c r="AB269" i="3"/>
  <c r="AB406" i="3"/>
  <c r="AB332" i="3"/>
  <c r="AB255" i="3"/>
  <c r="AB196" i="3"/>
  <c r="AB111" i="3"/>
  <c r="AB183" i="3"/>
  <c r="AB190" i="3"/>
  <c r="AB128" i="3"/>
  <c r="AB169" i="3"/>
  <c r="AB239" i="3"/>
  <c r="AB154" i="3"/>
  <c r="AB81" i="3"/>
  <c r="AB389" i="3"/>
  <c r="AB371" i="3"/>
  <c r="AB102" i="3"/>
  <c r="AB179" i="3"/>
  <c r="AB116" i="3"/>
  <c r="AB43" i="3"/>
  <c r="AB284" i="3"/>
  <c r="AB186" i="3"/>
  <c r="AB28" i="3"/>
  <c r="AB70" i="3"/>
  <c r="AB100" i="3"/>
  <c r="AB109" i="3"/>
  <c r="AB424" i="3"/>
  <c r="AB214" i="3"/>
  <c r="AB68" i="3"/>
  <c r="AB211" i="3"/>
  <c r="AB124" i="3"/>
  <c r="AB104" i="3"/>
  <c r="AB32" i="3"/>
  <c r="AB383" i="3"/>
  <c r="AB77" i="3"/>
  <c r="AB235" i="3"/>
  <c r="AB264" i="3"/>
  <c r="AB52" i="3"/>
  <c r="AB140" i="3"/>
  <c r="AB207" i="3"/>
  <c r="AB180" i="3"/>
  <c r="AB390" i="3"/>
  <c r="AB15" i="3"/>
  <c r="AB80" i="3"/>
  <c r="AB137" i="3"/>
  <c r="AB134" i="3"/>
  <c r="AB403" i="3"/>
  <c r="AB40" i="3"/>
  <c r="AB59" i="3"/>
  <c r="AB58" i="3"/>
  <c r="AB136" i="3"/>
  <c r="AB202" i="3"/>
  <c r="AB203" i="3"/>
  <c r="AB18" i="3"/>
  <c r="AB143" i="3"/>
  <c r="AB303" i="3"/>
  <c r="AB351" i="3"/>
  <c r="AB417" i="3"/>
  <c r="AB7" i="3"/>
  <c r="AB65" i="3"/>
  <c r="AB72" i="3"/>
  <c r="AB115" i="3"/>
  <c r="AB113" i="3"/>
  <c r="AB219" i="3"/>
  <c r="AB17" i="3"/>
  <c r="AB192" i="3"/>
  <c r="AB220" i="3"/>
  <c r="AB402" i="3"/>
  <c r="AB362" i="3"/>
  <c r="AB370" i="3"/>
  <c r="AB148" i="3"/>
  <c r="AB160" i="3"/>
  <c r="AB315" i="3"/>
  <c r="AB251" i="3"/>
  <c r="AB35" i="3"/>
  <c r="AB171" i="3"/>
  <c r="AB201" i="3"/>
  <c r="AB194" i="3"/>
  <c r="AB147" i="3"/>
  <c r="AB49" i="3"/>
  <c r="AB44" i="3"/>
  <c r="AB64" i="3"/>
  <c r="AB210" i="3"/>
  <c r="AB5" i="3"/>
  <c r="AB335" i="3"/>
  <c r="AB266" i="3"/>
  <c r="AB73" i="3"/>
  <c r="AB139" i="3"/>
  <c r="AB227" i="3"/>
  <c r="AB271" i="3"/>
  <c r="AB333" i="3"/>
  <c r="AB27" i="3"/>
  <c r="AB85" i="3"/>
  <c r="AB92" i="3"/>
  <c r="AB162" i="3"/>
  <c r="AB159" i="3"/>
  <c r="AB243" i="3"/>
  <c r="AB95" i="3"/>
  <c r="AB189" i="3"/>
  <c r="AB316" i="3"/>
  <c r="AB20" i="3"/>
  <c r="AB39" i="3"/>
  <c r="AB97" i="3"/>
  <c r="AB108" i="3"/>
  <c r="AB178" i="3"/>
  <c r="AB175" i="3"/>
  <c r="AB245" i="3"/>
  <c r="AB82" i="3"/>
  <c r="AB233" i="3"/>
  <c r="AB360" i="3"/>
  <c r="AB112" i="3"/>
  <c r="AB158" i="3"/>
  <c r="AB121" i="3"/>
  <c r="AB199" i="3"/>
  <c r="AB79" i="3"/>
  <c r="AB150" i="3"/>
  <c r="AB173" i="3"/>
  <c r="AB287" i="3"/>
  <c r="AB300" i="3"/>
  <c r="AB419" i="3"/>
  <c r="AB347" i="3"/>
  <c r="AB270" i="3"/>
  <c r="AB224" i="3"/>
  <c r="AB394" i="3"/>
  <c r="AB407" i="3"/>
  <c r="AB352" i="3"/>
  <c r="AB288" i="3"/>
  <c r="AB339" i="3"/>
  <c r="AB275" i="3"/>
  <c r="AB225" i="3"/>
  <c r="AB161" i="3"/>
  <c r="AB184" i="3"/>
  <c r="AB138" i="3"/>
  <c r="AB74" i="3"/>
  <c r="AB67" i="3"/>
  <c r="AB9" i="3"/>
  <c r="AB4" i="3"/>
  <c r="AB385" i="3"/>
  <c r="AB430" i="3"/>
  <c r="AB366" i="3"/>
  <c r="AB379" i="3"/>
  <c r="AB324" i="3"/>
  <c r="AB260" i="3"/>
  <c r="AB311" i="3"/>
  <c r="AB247" i="3"/>
  <c r="AB197" i="3"/>
  <c r="AB117" i="3"/>
  <c r="AB156" i="3"/>
  <c r="AB110" i="3"/>
  <c r="AB103" i="3"/>
  <c r="AB45" i="3"/>
  <c r="AB26" i="3"/>
  <c r="AB254" i="3"/>
  <c r="AB14" i="3"/>
  <c r="AB60" i="3"/>
  <c r="AB51" i="3"/>
  <c r="AB93" i="3"/>
  <c r="AB238" i="3"/>
  <c r="AB328" i="3"/>
  <c r="AB114" i="3"/>
  <c r="AB19" i="3"/>
  <c r="AB145" i="3"/>
  <c r="AB125" i="3"/>
  <c r="AB400" i="3"/>
  <c r="AB345" i="3"/>
  <c r="AB353" i="3"/>
  <c r="AB388" i="3"/>
  <c r="AB342" i="3"/>
  <c r="AB392" i="3"/>
  <c r="AB337" i="3"/>
  <c r="AB380" i="3"/>
  <c r="AB393" i="3"/>
  <c r="AB338" i="3"/>
  <c r="AB274" i="3"/>
  <c r="AB325" i="3"/>
  <c r="AB261" i="3"/>
  <c r="AB355" i="3"/>
  <c r="AB376" i="3"/>
  <c r="AB262" i="3"/>
  <c r="AB317" i="3"/>
  <c r="AB418" i="3"/>
  <c r="AB367" i="3"/>
  <c r="AB248" i="3"/>
  <c r="AB226" i="3"/>
  <c r="AB208" i="3"/>
  <c r="AB98" i="3"/>
  <c r="AB33" i="3"/>
  <c r="AB365" i="3"/>
  <c r="AB42" i="3"/>
  <c r="AB71" i="3"/>
  <c r="AB94" i="3"/>
  <c r="AB172" i="3"/>
  <c r="AB165" i="3"/>
  <c r="AB218" i="3"/>
  <c r="AB327" i="3"/>
  <c r="AB292" i="3"/>
  <c r="AB363" i="3"/>
  <c r="AB382" i="3"/>
  <c r="AB250" i="3"/>
  <c r="AB246" i="3"/>
  <c r="AB25" i="3"/>
  <c r="AB99" i="3"/>
  <c r="AB122" i="3"/>
  <c r="AB200" i="3"/>
  <c r="AB193" i="3"/>
  <c r="AB259" i="3"/>
  <c r="AB236" i="3"/>
  <c r="AB320" i="3"/>
  <c r="AB391" i="3"/>
  <c r="AB410" i="3"/>
  <c r="AB369" i="3"/>
  <c r="AB429" i="3"/>
  <c r="AB387" i="3"/>
  <c r="AB228" i="3"/>
  <c r="AB205" i="3"/>
  <c r="AB118" i="3"/>
  <c r="AB21" i="3"/>
  <c r="AB231" i="3"/>
  <c r="AB151" i="3"/>
  <c r="AB131" i="3"/>
  <c r="AB296" i="3"/>
  <c r="AB75" i="3"/>
  <c r="AB155" i="3"/>
  <c r="AB88" i="3"/>
  <c r="AB23" i="3"/>
  <c r="AB234" i="3"/>
  <c r="AB182" i="3"/>
  <c r="AB101" i="3"/>
  <c r="AB24" i="3"/>
  <c r="AB63" i="3"/>
  <c r="AB105" i="3"/>
  <c r="AB348" i="3"/>
  <c r="AB163" i="3"/>
  <c r="AB31" i="3"/>
  <c r="AB48" i="3"/>
  <c r="W34" i="3"/>
  <c r="W118" i="3"/>
  <c r="W252" i="3"/>
  <c r="W325" i="3"/>
  <c r="W53" i="3"/>
  <c r="W137" i="3"/>
  <c r="W373" i="3"/>
  <c r="W40" i="3"/>
  <c r="W209" i="3"/>
  <c r="W380" i="3"/>
  <c r="W70" i="3"/>
  <c r="W163" i="3"/>
  <c r="W284" i="3"/>
  <c r="W92" i="3"/>
  <c r="W361" i="3"/>
  <c r="W111" i="3"/>
  <c r="W164" i="3"/>
  <c r="W230" i="3"/>
  <c r="W422" i="3"/>
  <c r="W58" i="3"/>
  <c r="W170" i="3"/>
  <c r="W338" i="3"/>
  <c r="W5" i="3"/>
  <c r="W63" i="3"/>
  <c r="W134" i="3"/>
  <c r="W180" i="3"/>
  <c r="W271" i="3"/>
  <c r="W405" i="3"/>
  <c r="W27" i="3"/>
  <c r="W202" i="3"/>
  <c r="W241" i="3"/>
  <c r="W240" i="3"/>
  <c r="W412" i="3"/>
  <c r="W21" i="3"/>
  <c r="W79" i="3"/>
  <c r="W86" i="3"/>
  <c r="W150" i="3"/>
  <c r="W196" i="3"/>
  <c r="W187" i="3"/>
  <c r="W303" i="3"/>
  <c r="W316" i="3"/>
  <c r="W355" i="3"/>
  <c r="W59" i="3"/>
  <c r="W124" i="3"/>
  <c r="W141" i="3"/>
  <c r="W261" i="3"/>
  <c r="W274" i="3"/>
  <c r="W6" i="3"/>
  <c r="W420" i="3"/>
  <c r="W404" i="3"/>
  <c r="W388" i="3"/>
  <c r="W372" i="3"/>
  <c r="W351" i="3"/>
  <c r="W419" i="3"/>
  <c r="W403" i="3"/>
  <c r="W387" i="3"/>
  <c r="W371" i="3"/>
  <c r="W362" i="3"/>
  <c r="W346" i="3"/>
  <c r="W330" i="3"/>
  <c r="W314" i="3"/>
  <c r="W298" i="3"/>
  <c r="W282" i="3"/>
  <c r="W266" i="3"/>
  <c r="W250" i="3"/>
  <c r="W224" i="3"/>
  <c r="W333" i="3"/>
  <c r="W317" i="3"/>
  <c r="W301" i="3"/>
  <c r="W285" i="3"/>
  <c r="W269" i="3"/>
  <c r="W253" i="3"/>
  <c r="W226" i="3"/>
  <c r="W233" i="3"/>
  <c r="W217" i="3"/>
  <c r="W201" i="3"/>
  <c r="W185" i="3"/>
  <c r="W169" i="3"/>
  <c r="W153" i="3"/>
  <c r="W125" i="3"/>
  <c r="W210" i="3"/>
  <c r="W194" i="3"/>
  <c r="W178" i="3"/>
  <c r="W162" i="3"/>
  <c r="W139" i="3"/>
  <c r="W148" i="3"/>
  <c r="W132" i="3"/>
  <c r="W116" i="3"/>
  <c r="W100" i="3"/>
  <c r="W84" i="3"/>
  <c r="W68" i="3"/>
  <c r="W109" i="3"/>
  <c r="W93" i="3"/>
  <c r="W77" i="3"/>
  <c r="W60" i="3"/>
  <c r="W51" i="3"/>
  <c r="W35" i="3"/>
  <c r="W19" i="3"/>
  <c r="W48" i="3"/>
  <c r="W32" i="3"/>
  <c r="W16" i="3"/>
  <c r="W418" i="3"/>
  <c r="W402" i="3"/>
  <c r="W386" i="3"/>
  <c r="W370" i="3"/>
  <c r="W347" i="3"/>
  <c r="W417" i="3"/>
  <c r="W401" i="3"/>
  <c r="W385" i="3"/>
  <c r="W369" i="3"/>
  <c r="W360" i="3"/>
  <c r="W344" i="3"/>
  <c r="W328" i="3"/>
  <c r="W312" i="3"/>
  <c r="W296" i="3"/>
  <c r="W280" i="3"/>
  <c r="W264" i="3"/>
  <c r="W248" i="3"/>
  <c r="W220" i="3"/>
  <c r="W331" i="3"/>
  <c r="W315" i="3"/>
  <c r="W299" i="3"/>
  <c r="W283" i="3"/>
  <c r="W267" i="3"/>
  <c r="W251" i="3"/>
  <c r="W222" i="3"/>
  <c r="W231" i="3"/>
  <c r="W215" i="3"/>
  <c r="W199" i="3"/>
  <c r="W183" i="3"/>
  <c r="W167" i="3"/>
  <c r="W151" i="3"/>
  <c r="W121" i="3"/>
  <c r="W4" i="3"/>
  <c r="W416" i="3"/>
  <c r="W400" i="3"/>
  <c r="W384" i="3"/>
  <c r="W368" i="3"/>
  <c r="W431" i="3"/>
  <c r="W415" i="3"/>
  <c r="W399" i="3"/>
  <c r="W383" i="3"/>
  <c r="W367" i="3"/>
  <c r="W358" i="3"/>
  <c r="W342" i="3"/>
  <c r="W326" i="3"/>
  <c r="W310" i="3"/>
  <c r="W294" i="3"/>
  <c r="W278" i="3"/>
  <c r="W262" i="3"/>
  <c r="W246" i="3"/>
  <c r="W345" i="3"/>
  <c r="W329" i="3"/>
  <c r="W313" i="3"/>
  <c r="W297" i="3"/>
  <c r="W281" i="3"/>
  <c r="W265" i="3"/>
  <c r="W249" i="3"/>
  <c r="W245" i="3"/>
  <c r="W229" i="3"/>
  <c r="W213" i="3"/>
  <c r="W197" i="3"/>
  <c r="W181" i="3"/>
  <c r="W165" i="3"/>
  <c r="W149" i="3"/>
  <c r="W117" i="3"/>
  <c r="W206" i="3"/>
  <c r="W190" i="3"/>
  <c r="W174" i="3"/>
  <c r="W158" i="3"/>
  <c r="W131" i="3"/>
  <c r="W144" i="3"/>
  <c r="W128" i="3"/>
  <c r="W112" i="3"/>
  <c r="W96" i="3"/>
  <c r="W80" i="3"/>
  <c r="W64" i="3"/>
  <c r="W105" i="3"/>
  <c r="W89" i="3"/>
  <c r="W73" i="3"/>
  <c r="W52" i="3"/>
  <c r="W47" i="3"/>
  <c r="W31" i="3"/>
  <c r="W15" i="3"/>
  <c r="W44" i="3"/>
  <c r="W28" i="3"/>
  <c r="W12" i="3"/>
  <c r="W430" i="3"/>
  <c r="W414" i="3"/>
  <c r="W398" i="3"/>
  <c r="W382" i="3"/>
  <c r="W366" i="3"/>
  <c r="W429" i="3"/>
  <c r="W413" i="3"/>
  <c r="W397" i="3"/>
  <c r="W381" i="3"/>
  <c r="W365" i="3"/>
  <c r="W356" i="3"/>
  <c r="W340" i="3"/>
  <c r="W324" i="3"/>
  <c r="W308" i="3"/>
  <c r="W292" i="3"/>
  <c r="W276" i="3"/>
  <c r="W260" i="3"/>
  <c r="W244" i="3"/>
  <c r="W343" i="3"/>
  <c r="W327" i="3"/>
  <c r="W311" i="3"/>
  <c r="W295" i="3"/>
  <c r="W279" i="3"/>
  <c r="W263" i="3"/>
  <c r="W247" i="3"/>
  <c r="W243" i="3"/>
  <c r="W227" i="3"/>
  <c r="W211" i="3"/>
  <c r="W195" i="3"/>
  <c r="W38" i="3"/>
  <c r="W25" i="3"/>
  <c r="W57" i="3"/>
  <c r="W83" i="3"/>
  <c r="W54" i="3"/>
  <c r="W90" i="3"/>
  <c r="W122" i="3"/>
  <c r="W152" i="3"/>
  <c r="W184" i="3"/>
  <c r="W216" i="3"/>
  <c r="W171" i="3"/>
  <c r="W223" i="3"/>
  <c r="W307" i="3"/>
  <c r="W256" i="3"/>
  <c r="W320" i="3"/>
  <c r="W394" i="3"/>
  <c r="W7" i="3"/>
  <c r="W65" i="3"/>
  <c r="W72" i="3"/>
  <c r="W136" i="3"/>
  <c r="W214" i="3"/>
  <c r="W189" i="3"/>
  <c r="W234" i="3"/>
  <c r="W305" i="3"/>
  <c r="W254" i="3"/>
  <c r="W318" i="3"/>
  <c r="W375" i="3"/>
  <c r="W359" i="3"/>
  <c r="W424" i="3"/>
  <c r="W22" i="3"/>
  <c r="W9" i="3"/>
  <c r="W41" i="3"/>
  <c r="W67" i="3"/>
  <c r="W99" i="3"/>
  <c r="W74" i="3"/>
  <c r="W106" i="3"/>
  <c r="W138" i="3"/>
  <c r="W119" i="3"/>
  <c r="W168" i="3"/>
  <c r="W200" i="3"/>
  <c r="W145" i="3"/>
  <c r="W191" i="3"/>
  <c r="W238" i="3"/>
  <c r="W275" i="3"/>
  <c r="W339" i="3"/>
  <c r="W288" i="3"/>
  <c r="W352" i="3"/>
  <c r="W377" i="3"/>
  <c r="W409" i="3"/>
  <c r="W363" i="3"/>
  <c r="W426" i="3"/>
  <c r="W20" i="3"/>
  <c r="W39" i="3"/>
  <c r="W97" i="3"/>
  <c r="W104" i="3"/>
  <c r="W147" i="3"/>
  <c r="W182" i="3"/>
  <c r="W157" i="3"/>
  <c r="W221" i="3"/>
  <c r="W273" i="3"/>
  <c r="W337" i="3"/>
  <c r="W286" i="3"/>
  <c r="W350" i="3"/>
  <c r="W407" i="3"/>
  <c r="W392" i="3"/>
  <c r="W10" i="3"/>
  <c r="W26" i="3"/>
  <c r="W42" i="3"/>
  <c r="W13" i="3"/>
  <c r="W29" i="3"/>
  <c r="W45" i="3"/>
  <c r="W61" i="3"/>
  <c r="W71" i="3"/>
  <c r="W87" i="3"/>
  <c r="W103" i="3"/>
  <c r="W62" i="3"/>
  <c r="W78" i="3"/>
  <c r="W94" i="3"/>
  <c r="W110" i="3"/>
  <c r="W126" i="3"/>
  <c r="W142" i="3"/>
  <c r="W127" i="3"/>
  <c r="W156" i="3"/>
  <c r="W172" i="3"/>
  <c r="W188" i="3"/>
  <c r="W204" i="3"/>
  <c r="W113" i="3"/>
  <c r="W155" i="3"/>
  <c r="W175" i="3"/>
  <c r="W203" i="3"/>
  <c r="W235" i="3"/>
  <c r="W255" i="3"/>
  <c r="W287" i="3"/>
  <c r="W319" i="3"/>
  <c r="W228" i="3"/>
  <c r="W268" i="3"/>
  <c r="W300" i="3"/>
  <c r="W332" i="3"/>
  <c r="W349" i="3"/>
  <c r="W389" i="3"/>
  <c r="W421" i="3"/>
  <c r="W374" i="3"/>
  <c r="W406" i="3"/>
  <c r="W24" i="3"/>
  <c r="W11" i="3"/>
  <c r="W43" i="3"/>
  <c r="W69" i="3"/>
  <c r="W101" i="3"/>
  <c r="W76" i="3"/>
  <c r="W108" i="3"/>
  <c r="W140" i="3"/>
  <c r="W154" i="3"/>
  <c r="W186" i="3"/>
  <c r="W218" i="3"/>
  <c r="W161" i="3"/>
  <c r="W193" i="3"/>
  <c r="W225" i="3"/>
  <c r="W242" i="3"/>
  <c r="W277" i="3"/>
  <c r="W309" i="3"/>
  <c r="W341" i="3"/>
  <c r="W258" i="3"/>
  <c r="W290" i="3"/>
  <c r="W322" i="3"/>
  <c r="W354" i="3"/>
  <c r="W379" i="3"/>
  <c r="W411" i="3"/>
  <c r="W364" i="3"/>
  <c r="W396" i="3"/>
  <c r="W428" i="3"/>
  <c r="W14" i="3"/>
  <c r="W30" i="3"/>
  <c r="W46" i="3"/>
  <c r="W17" i="3"/>
  <c r="W33" i="3"/>
  <c r="W49" i="3"/>
  <c r="W56" i="3"/>
  <c r="W75" i="3"/>
  <c r="W91" i="3"/>
  <c r="W107" i="3"/>
  <c r="W66" i="3"/>
  <c r="W82" i="3"/>
  <c r="W98" i="3"/>
  <c r="W114" i="3"/>
  <c r="W130" i="3"/>
  <c r="W146" i="3"/>
  <c r="W135" i="3"/>
  <c r="W160" i="3"/>
  <c r="W176" i="3"/>
  <c r="W192" i="3"/>
  <c r="W208" i="3"/>
  <c r="W129" i="3"/>
  <c r="W159" i="3"/>
  <c r="W179" i="3"/>
  <c r="W207" i="3"/>
  <c r="W239" i="3"/>
  <c r="W259" i="3"/>
  <c r="W291" i="3"/>
  <c r="W323" i="3"/>
  <c r="W236" i="3"/>
  <c r="W272" i="3"/>
  <c r="W304" i="3"/>
  <c r="W336" i="3"/>
  <c r="W357" i="3"/>
  <c r="W393" i="3"/>
  <c r="W425" i="3"/>
  <c r="W378" i="3"/>
  <c r="W410" i="3"/>
  <c r="W36" i="3"/>
  <c r="W23" i="3"/>
  <c r="W55" i="3"/>
  <c r="W81" i="3"/>
  <c r="W50" i="3"/>
  <c r="W88" i="3"/>
  <c r="W120" i="3"/>
  <c r="W115" i="3"/>
  <c r="W166" i="3"/>
  <c r="W198" i="3"/>
  <c r="W133" i="3"/>
  <c r="W173" i="3"/>
  <c r="W205" i="3"/>
  <c r="W237" i="3"/>
  <c r="W257" i="3"/>
  <c r="W289" i="3"/>
  <c r="W321" i="3"/>
  <c r="W232" i="3"/>
  <c r="W270" i="3"/>
  <c r="W302" i="3"/>
  <c r="W334" i="3"/>
  <c r="W353" i="3"/>
  <c r="W391" i="3"/>
  <c r="W423" i="3"/>
  <c r="W376" i="3"/>
  <c r="W408" i="3"/>
  <c r="X400" i="3"/>
  <c r="X82" i="3"/>
  <c r="X157" i="3"/>
  <c r="X131" i="3"/>
  <c r="X177" i="3"/>
  <c r="X32" i="3"/>
  <c r="X56" i="3"/>
  <c r="X274" i="3"/>
  <c r="X225" i="3"/>
  <c r="X65" i="3"/>
  <c r="X335" i="3"/>
  <c r="X93" i="3"/>
  <c r="X286" i="3"/>
  <c r="X116" i="3"/>
  <c r="X66" i="3"/>
  <c r="X18" i="3"/>
  <c r="X99" i="3"/>
  <c r="X423" i="3"/>
  <c r="X77" i="3"/>
  <c r="X70" i="3"/>
  <c r="X374" i="3"/>
  <c r="X144" i="3"/>
  <c r="X250" i="3"/>
  <c r="X345" i="3"/>
  <c r="X288" i="3"/>
  <c r="X265" i="3"/>
  <c r="X15" i="3"/>
  <c r="X332" i="3"/>
  <c r="X154" i="3"/>
  <c r="X26" i="3"/>
  <c r="X237" i="3"/>
  <c r="X356" i="3"/>
  <c r="X12" i="3"/>
  <c r="X295" i="3"/>
  <c r="X426" i="3"/>
  <c r="X256" i="3"/>
  <c r="X395" i="3"/>
  <c r="X23" i="3"/>
  <c r="X44" i="3"/>
  <c r="X383" i="3"/>
  <c r="X35" i="3"/>
  <c r="X145" i="3"/>
  <c r="X40" i="3"/>
  <c r="X328" i="3"/>
  <c r="X239" i="3"/>
  <c r="X58" i="3"/>
  <c r="X187" i="3"/>
  <c r="X49" i="3"/>
  <c r="X277" i="3"/>
  <c r="X307" i="3"/>
  <c r="X301" i="3"/>
  <c r="X67" i="3"/>
  <c r="X318" i="3"/>
  <c r="X260" i="3"/>
  <c r="X210" i="3"/>
  <c r="X319" i="3"/>
  <c r="X97" i="3"/>
  <c r="X199" i="3"/>
  <c r="X33" i="3"/>
  <c r="X410" i="3"/>
  <c r="X303" i="3"/>
  <c r="X240" i="3"/>
  <c r="X422" i="3"/>
  <c r="X363" i="3"/>
  <c r="X270" i="3"/>
  <c r="X409" i="3"/>
  <c r="X100" i="3"/>
  <c r="X104" i="3"/>
  <c r="X179" i="3"/>
  <c r="X221" i="3"/>
  <c r="X348" i="3"/>
  <c r="X163" i="3"/>
  <c r="X170" i="3"/>
  <c r="X209" i="3"/>
  <c r="X42" i="3"/>
  <c r="X64" i="3"/>
  <c r="X269" i="3"/>
  <c r="X72" i="3"/>
  <c r="X372" i="3"/>
  <c r="X341" i="3"/>
  <c r="X408" i="3"/>
  <c r="X386" i="3"/>
  <c r="X152" i="3"/>
  <c r="X309" i="3"/>
  <c r="X316" i="3"/>
  <c r="X138" i="3"/>
  <c r="X10" i="3"/>
  <c r="X205" i="3"/>
  <c r="X340" i="3"/>
  <c r="X39" i="3"/>
  <c r="X55" i="3"/>
  <c r="X378" i="3"/>
  <c r="X208" i="3"/>
  <c r="X238" i="3"/>
  <c r="X101" i="3"/>
  <c r="X186" i="3"/>
  <c r="X262" i="3"/>
  <c r="X233" i="3"/>
  <c r="X167" i="3"/>
  <c r="X416" i="3"/>
  <c r="X147" i="3"/>
  <c r="X370" i="3"/>
  <c r="X326" i="3"/>
  <c r="X252" i="3"/>
  <c r="X389" i="3"/>
  <c r="X90" i="3"/>
  <c r="X11" i="3"/>
  <c r="X315" i="3"/>
  <c r="X263" i="3"/>
  <c r="X109" i="3"/>
  <c r="X407" i="3"/>
  <c r="X292" i="3"/>
  <c r="X60" i="3"/>
  <c r="X321" i="3"/>
  <c r="X264" i="3"/>
  <c r="X393" i="3"/>
  <c r="X54" i="3"/>
  <c r="X362" i="3"/>
  <c r="X207" i="3"/>
  <c r="X192" i="3"/>
  <c r="X342" i="3"/>
  <c r="X267" i="3"/>
  <c r="X222" i="3"/>
  <c r="X313" i="3"/>
  <c r="X17" i="3"/>
  <c r="X255" i="3"/>
  <c r="X339" i="3"/>
  <c r="X127" i="3"/>
  <c r="X354" i="3"/>
  <c r="X134" i="3"/>
  <c r="X229" i="3"/>
  <c r="X352" i="3"/>
  <c r="X361" i="3"/>
  <c r="X247" i="3"/>
  <c r="X424" i="3"/>
  <c r="X219" i="3"/>
  <c r="X323" i="3"/>
  <c r="X369" i="3"/>
  <c r="X299" i="3"/>
  <c r="X16" i="3"/>
  <c r="X364" i="3"/>
  <c r="X388" i="3"/>
  <c r="X46" i="3"/>
  <c r="X306" i="3"/>
  <c r="X203" i="3"/>
  <c r="X150" i="3"/>
  <c r="X429" i="3"/>
  <c r="X110" i="3"/>
  <c r="X89" i="3"/>
  <c r="X402" i="3"/>
  <c r="X4" i="3"/>
  <c r="X380" i="3"/>
  <c r="X202" i="3"/>
  <c r="X50" i="3"/>
  <c r="X353" i="3"/>
  <c r="X92" i="3"/>
  <c r="X367" i="3"/>
  <c r="X125" i="3"/>
  <c r="X302" i="3"/>
  <c r="X132" i="3"/>
  <c r="X220" i="3"/>
  <c r="X251" i="3"/>
  <c r="X174" i="3"/>
  <c r="X338" i="3"/>
  <c r="X6" i="3"/>
  <c r="X189" i="3"/>
  <c r="X375" i="3"/>
  <c r="X236" i="3"/>
  <c r="X190" i="3"/>
  <c r="X143" i="3"/>
  <c r="X136" i="3"/>
  <c r="X343" i="3"/>
  <c r="X53" i="3"/>
  <c r="X243" i="3"/>
  <c r="X289" i="3"/>
  <c r="X418" i="3"/>
  <c r="X248" i="3"/>
  <c r="X114" i="3"/>
  <c r="X379" i="3"/>
  <c r="X182" i="3"/>
  <c r="X137" i="3"/>
  <c r="X188" i="3"/>
  <c r="X387" i="3"/>
  <c r="X261" i="3"/>
  <c r="X282" i="3"/>
  <c r="X68" i="3"/>
  <c r="X7" i="3"/>
  <c r="X368" i="3"/>
  <c r="X112" i="3"/>
  <c r="X91" i="3"/>
  <c r="X198" i="3"/>
  <c r="X425" i="3"/>
  <c r="X107" i="3"/>
  <c r="X398" i="3"/>
  <c r="X142" i="3"/>
  <c r="X279" i="3"/>
  <c r="X153" i="3"/>
  <c r="X228" i="3"/>
  <c r="X371" i="3"/>
  <c r="X417" i="3"/>
  <c r="X149" i="3"/>
  <c r="X312" i="3"/>
  <c r="X178" i="3"/>
  <c r="X14" i="3"/>
  <c r="X230" i="3"/>
  <c r="X169" i="3"/>
  <c r="X204" i="3"/>
  <c r="X419" i="3"/>
  <c r="X293" i="3"/>
  <c r="X298" i="3"/>
  <c r="X84" i="3"/>
  <c r="X71" i="3"/>
  <c r="X384" i="3"/>
  <c r="X128" i="3"/>
  <c r="X155" i="3"/>
  <c r="X214" i="3"/>
  <c r="X103" i="3"/>
  <c r="X139" i="3"/>
  <c r="X414" i="3"/>
  <c r="X158" i="3"/>
  <c r="X311" i="3"/>
  <c r="X185" i="3"/>
  <c r="X244" i="3"/>
  <c r="X30" i="3"/>
  <c r="X258" i="3"/>
  <c r="X385" i="3"/>
  <c r="X216" i="3"/>
  <c r="X79" i="3"/>
  <c r="X194" i="3"/>
  <c r="X129" i="3"/>
  <c r="X146" i="3"/>
  <c r="X191" i="3"/>
  <c r="X392" i="3"/>
  <c r="X135" i="3"/>
  <c r="X86" i="3"/>
  <c r="X394" i="3"/>
  <c r="X271" i="3"/>
  <c r="X224" i="3"/>
  <c r="X390" i="3"/>
  <c r="X331" i="3"/>
  <c r="X254" i="3"/>
  <c r="X377" i="3"/>
  <c r="X81" i="3"/>
  <c r="X403" i="3"/>
  <c r="X181" i="3"/>
  <c r="X406" i="3"/>
  <c r="X284" i="3"/>
  <c r="X47" i="3"/>
  <c r="X122" i="3"/>
  <c r="X113" i="3"/>
  <c r="X411" i="3"/>
  <c r="X391" i="3"/>
  <c r="X173" i="3"/>
  <c r="X24" i="3"/>
  <c r="X324" i="3"/>
  <c r="X232" i="3"/>
  <c r="X95" i="3"/>
  <c r="X108" i="3"/>
  <c r="X399" i="3"/>
  <c r="X159" i="3"/>
  <c r="X285" i="3"/>
  <c r="X195" i="3"/>
  <c r="X241" i="3"/>
  <c r="X80" i="3"/>
  <c r="X5" i="3"/>
  <c r="X405" i="3"/>
  <c r="X325" i="3"/>
  <c r="X246" i="3"/>
  <c r="X119" i="3"/>
  <c r="X376" i="3"/>
  <c r="X314" i="3"/>
  <c r="X231" i="3"/>
  <c r="X217" i="3"/>
  <c r="X61" i="3"/>
  <c r="X404" i="3"/>
  <c r="X278" i="3"/>
  <c r="X357" i="3"/>
  <c r="X43" i="3"/>
  <c r="X37" i="3"/>
  <c r="X115" i="3"/>
  <c r="X294" i="3"/>
  <c r="X249" i="3"/>
  <c r="X117" i="3"/>
  <c r="X296" i="3"/>
  <c r="X162" i="3"/>
  <c r="X34" i="3"/>
  <c r="X223" i="3"/>
  <c r="X31" i="3"/>
  <c r="X48" i="3"/>
  <c r="X396" i="3"/>
  <c r="X124" i="3"/>
  <c r="X259" i="3"/>
  <c r="X133" i="3"/>
  <c r="X218" i="3"/>
  <c r="X431" i="3"/>
  <c r="X305" i="3"/>
  <c r="X304" i="3"/>
  <c r="X9" i="3"/>
  <c r="X253" i="3"/>
  <c r="X85" i="3"/>
  <c r="X59" i="3"/>
  <c r="X365" i="3"/>
  <c r="X334" i="3"/>
  <c r="X69" i="3"/>
  <c r="X151" i="3"/>
  <c r="X420" i="3"/>
  <c r="X164" i="3"/>
  <c r="X245" i="3"/>
  <c r="X360" i="3"/>
  <c r="X226" i="3"/>
  <c r="X25" i="3"/>
  <c r="X351" i="3"/>
  <c r="X123" i="3"/>
  <c r="X21" i="3"/>
  <c r="X412" i="3"/>
  <c r="X140" i="3"/>
  <c r="X291" i="3"/>
  <c r="X165" i="3"/>
  <c r="X234" i="3"/>
  <c r="X20" i="3"/>
  <c r="X337" i="3"/>
  <c r="X320" i="3"/>
  <c r="X41" i="3"/>
  <c r="X317" i="3"/>
  <c r="X118" i="3"/>
  <c r="X201" i="3"/>
  <c r="X397" i="3"/>
  <c r="X350" i="3"/>
  <c r="X94" i="3"/>
  <c r="X183" i="3"/>
  <c r="X27" i="3"/>
  <c r="X180" i="3"/>
  <c r="X211" i="3"/>
  <c r="X130" i="3"/>
  <c r="X257" i="3"/>
  <c r="X88" i="3"/>
  <c r="X213" i="3"/>
  <c r="X45" i="3"/>
  <c r="X344" i="3"/>
  <c r="X161" i="3"/>
  <c r="X184" i="3"/>
  <c r="X283" i="3"/>
  <c r="X105" i="3"/>
  <c r="X355" i="3"/>
  <c r="X266" i="3"/>
  <c r="X401" i="3"/>
  <c r="X96" i="3"/>
  <c r="X166" i="3"/>
  <c r="X63" i="3"/>
  <c r="X126" i="3"/>
  <c r="X121" i="3"/>
  <c r="X373" i="3"/>
  <c r="X290" i="3"/>
  <c r="X28" i="3"/>
  <c r="X102" i="3"/>
  <c r="X156" i="3"/>
  <c r="X197" i="3"/>
  <c r="X36" i="3"/>
  <c r="X336" i="3"/>
  <c r="X381" i="3"/>
  <c r="X297" i="3"/>
  <c r="X366" i="3"/>
  <c r="X215" i="3"/>
  <c r="X196" i="3"/>
  <c r="X98" i="3"/>
  <c r="X287" i="3"/>
  <c r="X349" i="3"/>
  <c r="X227" i="3"/>
  <c r="X273" i="3"/>
  <c r="X76" i="3"/>
  <c r="X359" i="3"/>
  <c r="X51" i="3"/>
  <c r="X272" i="3"/>
  <c r="X427" i="3"/>
  <c r="X87" i="3"/>
  <c r="X242" i="3"/>
  <c r="X29" i="3"/>
  <c r="X300" i="3"/>
  <c r="X276" i="3"/>
  <c r="X57" i="3"/>
  <c r="X111" i="3"/>
  <c r="X171" i="3"/>
  <c r="X148" i="3"/>
  <c r="X74" i="3"/>
  <c r="X168" i="3"/>
  <c r="X430" i="3"/>
  <c r="X160" i="3"/>
  <c r="X22" i="3"/>
  <c r="X62" i="3"/>
  <c r="X330" i="3"/>
  <c r="U439" i="3" l="1"/>
</calcChain>
</file>

<file path=xl/sharedStrings.xml><?xml version="1.0" encoding="utf-8"?>
<sst xmlns="http://schemas.openxmlformats.org/spreadsheetml/2006/main" count="964" uniqueCount="509">
  <si>
    <t>Kommunenavn</t>
  </si>
  <si>
    <t>0101 Halden</t>
  </si>
  <si>
    <t>0104 Moss</t>
  </si>
  <si>
    <t>0105 Sarpsborg</t>
  </si>
  <si>
    <t>0106 Fredrikstad</t>
  </si>
  <si>
    <t>0111 Hvaler</t>
  </si>
  <si>
    <t>0118 Aremark</t>
  </si>
  <si>
    <t>0119 Marker</t>
  </si>
  <si>
    <t>0121 Rømskog</t>
  </si>
  <si>
    <t>0122 Trøgstad</t>
  </si>
  <si>
    <t>0123 Spydeberg</t>
  </si>
  <si>
    <t>0124 Askim</t>
  </si>
  <si>
    <t>0125 Eidsberg</t>
  </si>
  <si>
    <t>0127 Skiptvet</t>
  </si>
  <si>
    <t>0128 Rakkestad</t>
  </si>
  <si>
    <t>0135 Råde</t>
  </si>
  <si>
    <t>0136 Rygge</t>
  </si>
  <si>
    <t>0137 Våler</t>
  </si>
  <si>
    <t>0138 Hobøl</t>
  </si>
  <si>
    <t>0211 Vestby</t>
  </si>
  <si>
    <t>0213 Ski</t>
  </si>
  <si>
    <t>0214 Ås</t>
  </si>
  <si>
    <t>0215 Frogn</t>
  </si>
  <si>
    <t>0216 Nesodden</t>
  </si>
  <si>
    <t>0217 Oppegård</t>
  </si>
  <si>
    <t>0219 Bærum</t>
  </si>
  <si>
    <t>0220 Asker</t>
  </si>
  <si>
    <t>0221 Aurskog-Høland</t>
  </si>
  <si>
    <t>0226 Sørum</t>
  </si>
  <si>
    <t>0227 Fet</t>
  </si>
  <si>
    <t>0228 Rælingen</t>
  </si>
  <si>
    <t>0229 Enebakk</t>
  </si>
  <si>
    <t>0230 Lørenskog</t>
  </si>
  <si>
    <t>0231 Skedsmo</t>
  </si>
  <si>
    <t>0233 Nittedal</t>
  </si>
  <si>
    <t>0234 Gjerdrum</t>
  </si>
  <si>
    <t>0235 Ullensaker</t>
  </si>
  <si>
    <t>0236 Nes</t>
  </si>
  <si>
    <t>0237 Eidsvoll</t>
  </si>
  <si>
    <t>0238 Nannestad</t>
  </si>
  <si>
    <t>0239 Hurdal</t>
  </si>
  <si>
    <t>0301 Oslo</t>
  </si>
  <si>
    <t>0402 Kongsvinger</t>
  </si>
  <si>
    <t>0403 Hamar</t>
  </si>
  <si>
    <t>0412 Ringsaker</t>
  </si>
  <si>
    <t>0415 Løten</t>
  </si>
  <si>
    <t>0417 Stange</t>
  </si>
  <si>
    <t>0418 Nord-Odal</t>
  </si>
  <si>
    <t>0419 Sør-Odal</t>
  </si>
  <si>
    <t>0420 Eidskog</t>
  </si>
  <si>
    <t>0423 Grue</t>
  </si>
  <si>
    <t>0425 Åsnes</t>
  </si>
  <si>
    <t>0426 Våler</t>
  </si>
  <si>
    <t>0427 Elverum</t>
  </si>
  <si>
    <t>0428 Trysil</t>
  </si>
  <si>
    <t>0429 Åmot</t>
  </si>
  <si>
    <t>0430 Stor-Elvdal</t>
  </si>
  <si>
    <t>0432 Rendalen</t>
  </si>
  <si>
    <t>0434 Engerdal</t>
  </si>
  <si>
    <t>0436 Tolga</t>
  </si>
  <si>
    <t>0437 Tynset</t>
  </si>
  <si>
    <t>0438 Alvdal</t>
  </si>
  <si>
    <t>0439 Folldal</t>
  </si>
  <si>
    <t>0441 Os</t>
  </si>
  <si>
    <t>0501 Lillehammer</t>
  </si>
  <si>
    <t>0502 Gjøvik</t>
  </si>
  <si>
    <t>0511 Dovre</t>
  </si>
  <si>
    <t>0512 Lesja</t>
  </si>
  <si>
    <t>0513 Skjåk</t>
  </si>
  <si>
    <t>0514 Lom</t>
  </si>
  <si>
    <t>0515 Vågå</t>
  </si>
  <si>
    <t>0516 Nord-Fron</t>
  </si>
  <si>
    <t>0517 Sel</t>
  </si>
  <si>
    <t>0519 Sør-Fron</t>
  </si>
  <si>
    <t>0520 Ringebu</t>
  </si>
  <si>
    <t>0521 Øyer</t>
  </si>
  <si>
    <t>0522 Gausdal</t>
  </si>
  <si>
    <t>0528 Østre Toten</t>
  </si>
  <si>
    <t>0529 Vestre Toten</t>
  </si>
  <si>
    <t>0532 Jevnaker</t>
  </si>
  <si>
    <t>0533 Lunner</t>
  </si>
  <si>
    <t>0534 Gran</t>
  </si>
  <si>
    <t>0536 Søndre Land</t>
  </si>
  <si>
    <t>0538 Nordre Land</t>
  </si>
  <si>
    <t>0540 Sør-Aurdal</t>
  </si>
  <si>
    <t>0541 Etnedal</t>
  </si>
  <si>
    <t>0542 Nord-Aurdal</t>
  </si>
  <si>
    <t>0543 Vestre Slidre</t>
  </si>
  <si>
    <t>0544 Øystre Slidre</t>
  </si>
  <si>
    <t>0545 Vang</t>
  </si>
  <si>
    <t>0602 Drammen</t>
  </si>
  <si>
    <t>0604 Kongsberg</t>
  </si>
  <si>
    <t>0605 Ringerike</t>
  </si>
  <si>
    <t>0612 Hole</t>
  </si>
  <si>
    <t>0615 Flå</t>
  </si>
  <si>
    <t>0616 Nes</t>
  </si>
  <si>
    <t>0617 Gol</t>
  </si>
  <si>
    <t>0618 Hemsedal</t>
  </si>
  <si>
    <t>0619 Ål</t>
  </si>
  <si>
    <t>0620 Hol</t>
  </si>
  <si>
    <t>0621 Sigdal</t>
  </si>
  <si>
    <t>0622 Krødsherad</t>
  </si>
  <si>
    <t>0623 Modum</t>
  </si>
  <si>
    <t>0624 Øvre Eiker</t>
  </si>
  <si>
    <t>0625 Nedre Eiker</t>
  </si>
  <si>
    <t>0626 Lier</t>
  </si>
  <si>
    <t>0627 Røyken</t>
  </si>
  <si>
    <t>0628 Hurum</t>
  </si>
  <si>
    <t>0631 Flesberg</t>
  </si>
  <si>
    <t>0632 Rollag</t>
  </si>
  <si>
    <t>0633 Nore og Uvdal</t>
  </si>
  <si>
    <t>0701 Horten</t>
  </si>
  <si>
    <t>0702 Holmestrand</t>
  </si>
  <si>
    <t>0704 Tønsberg</t>
  </si>
  <si>
    <t>0706 Sandefjord</t>
  </si>
  <si>
    <t>0709 Larvik</t>
  </si>
  <si>
    <t>0711 Svelvik</t>
  </si>
  <si>
    <t>0713 Sande</t>
  </si>
  <si>
    <t>0714 Hof</t>
  </si>
  <si>
    <t>0716 Re</t>
  </si>
  <si>
    <t>0719 Andebu</t>
  </si>
  <si>
    <t>0720 Stokke</t>
  </si>
  <si>
    <t>0722 Nøtterøy</t>
  </si>
  <si>
    <t>0723 Tjøme</t>
  </si>
  <si>
    <t>0728 Lardal</t>
  </si>
  <si>
    <t>0805 Porsgrunn</t>
  </si>
  <si>
    <t>0806 Skien</t>
  </si>
  <si>
    <t>0807 Notodden</t>
  </si>
  <si>
    <t>0811 Siljan</t>
  </si>
  <si>
    <t>0814 Bamble</t>
  </si>
  <si>
    <t>0815 Kragerø</t>
  </si>
  <si>
    <t>0817 Drangedal</t>
  </si>
  <si>
    <t>0819 Nome</t>
  </si>
  <si>
    <t>0821 Bø</t>
  </si>
  <si>
    <t>0822 Sauherad</t>
  </si>
  <si>
    <t>0826 Tinn</t>
  </si>
  <si>
    <t>0827 Hjartdal</t>
  </si>
  <si>
    <t>0828 Seljord</t>
  </si>
  <si>
    <t>0829 Kviteseid</t>
  </si>
  <si>
    <t>0830 Nissedal</t>
  </si>
  <si>
    <t>0831 Fyresdal</t>
  </si>
  <si>
    <t>0833 Tokke</t>
  </si>
  <si>
    <t>0834 Vinje</t>
  </si>
  <si>
    <t>0901 Risør</t>
  </si>
  <si>
    <t>0904 Grimstad</t>
  </si>
  <si>
    <t>0906 Arendal</t>
  </si>
  <si>
    <t>0911 Gjerstad</t>
  </si>
  <si>
    <t>0912 Vegårshei</t>
  </si>
  <si>
    <t>0914 Tvedestrand</t>
  </si>
  <si>
    <t>0919 Froland</t>
  </si>
  <si>
    <t>0926 Lillesand</t>
  </si>
  <si>
    <t>0928 Birkenes</t>
  </si>
  <si>
    <t>0929 Åmli</t>
  </si>
  <si>
    <t>0935 Iveland</t>
  </si>
  <si>
    <t>0937 Evje og Hornnes</t>
  </si>
  <si>
    <t>0938 Bygland</t>
  </si>
  <si>
    <t>0940 Valle</t>
  </si>
  <si>
    <t>0941 Bykle</t>
  </si>
  <si>
    <t>1001 Kristiansand</t>
  </si>
  <si>
    <t>1002 Mandal</t>
  </si>
  <si>
    <t>1003 Farsund</t>
  </si>
  <si>
    <t>1004 Flekkefjord</t>
  </si>
  <si>
    <t>1014 Vennesla</t>
  </si>
  <si>
    <t>1017 Songdalen</t>
  </si>
  <si>
    <t>1018 Søgne</t>
  </si>
  <si>
    <t>1021 Marnardal</t>
  </si>
  <si>
    <t>1026 Åseral</t>
  </si>
  <si>
    <t>1027 Audnedal</t>
  </si>
  <si>
    <t>1029 Lindesnes</t>
  </si>
  <si>
    <t>1032 Lyngdal</t>
  </si>
  <si>
    <t>1034 Hægebostad</t>
  </si>
  <si>
    <t>1037 Kvinesdal</t>
  </si>
  <si>
    <t>1046 Sirdal</t>
  </si>
  <si>
    <t>1101 Eigersund</t>
  </si>
  <si>
    <t>1102 Sandnes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</si>
  <si>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</si>
  <si>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</si>
  <si>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</si>
  <si>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</si>
  <si>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</si>
  <si>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</si>
  <si>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</si>
  <si>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</si>
  <si>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</si>
  <si>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</si>
  <si>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</si>
  <si>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1129 Forsand</t>
  </si>
  <si>
    <t>1130 Strand</t>
  </si>
  <si>
    <t>1133 Hjelmeland</t>
  </si>
  <si>
    <t>1134 Suldal</t>
  </si>
  <si>
    <t>1135 Sauda</t>
  </si>
  <si>
    <t>1141 Finnøy</t>
  </si>
  <si>
    <t>1142 Rennesøy</t>
  </si>
  <si>
    <t>1144 Kvitsøy</t>
  </si>
  <si>
    <t>1145 Bokn</t>
  </si>
  <si>
    <t>1146 Tysvær</t>
  </si>
  <si>
    <t>1149 Karmøy</t>
  </si>
  <si>
    <t>1151 Utsira</t>
  </si>
  <si>
    <t>1160 Vindafjord</t>
  </si>
  <si>
    <t>1201 Bergen</t>
  </si>
  <si>
    <t>1211 Etne</t>
  </si>
  <si>
    <t>1216 Sveio</t>
  </si>
  <si>
    <t>1219 Bømlo</t>
  </si>
  <si>
    <t>1221 Stord</t>
  </si>
  <si>
    <t>1222 Fitjar</t>
  </si>
  <si>
    <t>1223 Tysnes</t>
  </si>
  <si>
    <t>1224 Kvinnherad</t>
  </si>
  <si>
    <t>1227 Jondal</t>
  </si>
  <si>
    <t>1228 Odda</t>
  </si>
  <si>
    <t>1231 Ullensvang</t>
  </si>
  <si>
    <t>1232 Eidfjord</t>
  </si>
  <si>
    <t>1233 Ulvik</t>
  </si>
  <si>
    <t>1234 Granvin</t>
  </si>
  <si>
    <t>1235 Voss</t>
  </si>
  <si>
    <t>1238 Kvam</t>
  </si>
  <si>
    <t>1241 Fusa</t>
  </si>
  <si>
    <t>1242 Samnanger</t>
  </si>
  <si>
    <t>1243 Os</t>
  </si>
  <si>
    <t>1244 Austevoll</t>
  </si>
  <si>
    <t>1245 Sund</t>
  </si>
  <si>
    <t>1246 Fjell</t>
  </si>
  <si>
    <t>1247 Askøy</t>
  </si>
  <si>
    <t>1251 Vaksdal</t>
  </si>
  <si>
    <t>1252 Modalen</t>
  </si>
  <si>
    <t>1253 Osterøy</t>
  </si>
  <si>
    <t>1256 Meland</t>
  </si>
  <si>
    <t>1259 Øygarden</t>
  </si>
  <si>
    <t>1260 Radøy</t>
  </si>
  <si>
    <t>1263 Lindås</t>
  </si>
  <si>
    <t>1264 Austrheim</t>
  </si>
  <si>
    <t>1265 Fedje</t>
  </si>
  <si>
    <t>1266 Masfjorden</t>
  </si>
  <si>
    <t>1401 Flora</t>
  </si>
  <si>
    <t>1411 Gulen</t>
  </si>
  <si>
    <t>1412 Solund</t>
  </si>
  <si>
    <t>1413 Hyllestad</t>
  </si>
  <si>
    <t>1416 Høyanger</t>
  </si>
  <si>
    <t>1417 Vik</t>
  </si>
  <si>
    <t>1418 Balestrand</t>
  </si>
  <si>
    <t>1419 Leikanger</t>
  </si>
  <si>
    <t>1420 Sogndal</t>
  </si>
  <si>
    <t>1421 Aurland</t>
  </si>
  <si>
    <t>1422 Lærdal</t>
  </si>
  <si>
    <t>1424 Årdal</t>
  </si>
  <si>
    <t>1426 Luster</t>
  </si>
  <si>
    <t>1428 Askvoll</t>
  </si>
  <si>
    <t>1429 Fjaler</t>
  </si>
  <si>
    <t>1430 Gaular</t>
  </si>
  <si>
    <t>1431 Jølster</t>
  </si>
  <si>
    <t>1432 Førde</t>
  </si>
  <si>
    <t>1433 Naustdal</t>
  </si>
  <si>
    <t>1438 Bremanger</t>
  </si>
  <si>
    <t>1439 Vågsøy</t>
  </si>
  <si>
    <t>1441 Selje</t>
  </si>
  <si>
    <t>1443 Eid</t>
  </si>
  <si>
    <t>1444 Hornindal</t>
  </si>
  <si>
    <t>1445 Gloppen</t>
  </si>
  <si>
    <t>1449 Stryn</t>
  </si>
  <si>
    <t>1502 Molde</t>
  </si>
  <si>
    <t>1504 Ålesund</t>
  </si>
  <si>
    <t>1505 Kristiansund</t>
  </si>
  <si>
    <t>1511 Vanylven</t>
  </si>
  <si>
    <t>1514 Sande</t>
  </si>
  <si>
    <t>1515 Herøy</t>
  </si>
  <si>
    <t>1516 Ulstein</t>
  </si>
  <si>
    <t>1517 Hareid</t>
  </si>
  <si>
    <t>1519 Volda</t>
  </si>
  <si>
    <t>1520 Ørsta</t>
  </si>
  <si>
    <t>1523 Ørskog</t>
  </si>
  <si>
    <t>1524 Norddal</t>
  </si>
  <si>
    <t>1525 Stranda</t>
  </si>
  <si>
    <t>1526 Stordal</t>
  </si>
  <si>
    <t>1528 Sykkylven</t>
  </si>
  <si>
    <t>1529 Skodje</t>
  </si>
  <si>
    <t>1531 Sula</t>
  </si>
  <si>
    <t>1532 Giske</t>
  </si>
  <si>
    <t>1534 Haram</t>
  </si>
  <si>
    <t>1535 Vestnes</t>
  </si>
  <si>
    <t>1539 Rauma</t>
  </si>
  <si>
    <t>1543 Nesset</t>
  </si>
  <si>
    <t>1545 Midsund</t>
  </si>
  <si>
    <t>1546 Sandøy</t>
  </si>
  <si>
    <t>1547 Aukra</t>
  </si>
  <si>
    <t>1548 Fræna</t>
  </si>
  <si>
    <t>1551 Eide</t>
  </si>
  <si>
    <t>1554 Averøy</t>
  </si>
  <si>
    <t>1557 Gjemnes</t>
  </si>
  <si>
    <t>1560 Tingvoll</t>
  </si>
  <si>
    <t>1563 Sunndal</t>
  </si>
  <si>
    <t>1566 Surnadal</t>
  </si>
  <si>
    <t>1567 Rindal</t>
  </si>
  <si>
    <t>1571 Halsa</t>
  </si>
  <si>
    <t>1573 Smøla</t>
  </si>
  <si>
    <t>1576 Aure</t>
  </si>
  <si>
    <t>1601 Trondheim</t>
  </si>
  <si>
    <t>1612 Hemne</t>
  </si>
  <si>
    <t>1613 Snillfjord</t>
  </si>
  <si>
    <t>1617 Hitra</t>
  </si>
  <si>
    <t>1620 Frøya</t>
  </si>
  <si>
    <t>1621 Ørland</t>
  </si>
  <si>
    <t>1622 Agdenes</t>
  </si>
  <si>
    <t>1624 Rissa</t>
  </si>
  <si>
    <t>1627 Bjugn</t>
  </si>
  <si>
    <t>1630 Åfjord</t>
  </si>
  <si>
    <t>1632 Roan</t>
  </si>
  <si>
    <t>1633 Osen</t>
  </si>
  <si>
    <t>1634 Oppdal</t>
  </si>
  <si>
    <t>1635 Rennebu</t>
  </si>
  <si>
    <t>1636 Meldal</t>
  </si>
  <si>
    <t>1638 Orkdal</t>
  </si>
  <si>
    <t>1640 Røros</t>
  </si>
  <si>
    <t>1644 Holtålen</t>
  </si>
  <si>
    <t>1648 Midtre Gauldal</t>
  </si>
  <si>
    <t>1653 Melhus</t>
  </si>
  <si>
    <t>1657 Skaun</t>
  </si>
  <si>
    <t>1662 Klæbu</t>
  </si>
  <si>
    <t>1663 Malvik</t>
  </si>
  <si>
    <t>1664 Selbu</t>
  </si>
  <si>
    <t>1665 Tydal</t>
  </si>
  <si>
    <t>1702 Steinkjer</t>
  </si>
  <si>
    <t>1703 Namsos</t>
  </si>
  <si>
    <t>1711 Meråker</t>
  </si>
  <si>
    <t>1714 Stjørdal</t>
  </si>
  <si>
    <t>1717 Frosta</t>
  </si>
  <si>
    <t>1718 Leksvik</t>
  </si>
  <si>
    <t>1719 Levanger</t>
  </si>
  <si>
    <t>1721 Verdal</t>
  </si>
  <si>
    <t>1724 Verran</t>
  </si>
  <si>
    <t>1725 Namdalseid</t>
  </si>
  <si>
    <t>1736 Snåsa</t>
  </si>
  <si>
    <t>1738 Lierne</t>
  </si>
  <si>
    <t>1739 Røyrvik</t>
  </si>
  <si>
    <t>1740 Namsskogan</t>
  </si>
  <si>
    <t>1742 Grong</t>
  </si>
  <si>
    <t>1743 Høylandet</t>
  </si>
  <si>
    <t>1744 Overhalla</t>
  </si>
  <si>
    <t>1748 Fosnes</t>
  </si>
  <si>
    <t>1749 Flatanger</t>
  </si>
  <si>
    <t>1750 Vikna</t>
  </si>
  <si>
    <t>1751 Nærøy</t>
  </si>
  <si>
    <t>1755 Leka</t>
  </si>
  <si>
    <t>1756 Inderøy</t>
  </si>
  <si>
    <t>1804 Bodø</t>
  </si>
  <si>
    <t>1805 Narvik</t>
  </si>
  <si>
    <t>1811 Bindal</t>
  </si>
  <si>
    <t>1812 Sømna</t>
  </si>
  <si>
    <t>1813 Brønnøy</t>
  </si>
  <si>
    <t>1815 Vega</t>
  </si>
  <si>
    <t>1816 Vevelstad</t>
  </si>
  <si>
    <t>1818 Herøy</t>
  </si>
  <si>
    <t>1820 Alstahaug</t>
  </si>
  <si>
    <t>1822 Leirfjord</t>
  </si>
  <si>
    <t>1824 Vefsn</t>
  </si>
  <si>
    <t>1825 Grane</t>
  </si>
  <si>
    <t>1826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</si>
  <si>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</si>
  <si>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</si>
  <si>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</si>
  <si>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</si>
  <si>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</si>
  <si>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</si>
  <si>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</si>
  <si>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</si>
  <si>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</si>
  <si>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</si>
  <si>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</si>
  <si>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</t>
  </si>
  <si>
    <t>1845 Sørfold</t>
  </si>
  <si>
    <t>1848 Steigen</t>
  </si>
  <si>
    <t>1849 Hamarøy</t>
  </si>
  <si>
    <t>1850 Tysfjord</t>
  </si>
  <si>
    <t>1851 Lødingen</t>
  </si>
  <si>
    <t>1852 Tjeldsund</t>
  </si>
  <si>
    <t>1853 Evenes</t>
  </si>
  <si>
    <t>1854 Ballangen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</si>
  <si>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</si>
  <si>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</si>
  <si>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</si>
  <si>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</si>
  <si>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</si>
  <si>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</si>
  <si>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</si>
  <si>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</si>
  <si>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</t>
  </si>
  <si>
    <t>1871 Andøy</t>
  </si>
  <si>
    <t>1874 Moskenes</t>
  </si>
  <si>
    <t>1902 Tromsø</t>
  </si>
  <si>
    <t>1903 Harstad</t>
  </si>
  <si>
    <t>1911 Kvæfjord</t>
  </si>
  <si>
    <t>1913 Skånland</t>
  </si>
  <si>
    <t>1917 Ibestad</t>
  </si>
  <si>
    <t>1919 Gratangen</t>
  </si>
  <si>
    <t>1920 Lavangen</t>
  </si>
  <si>
    <t>1922 Bardu</t>
  </si>
  <si>
    <t>1923 Salangen</t>
  </si>
  <si>
    <t>1924 Målselv</t>
  </si>
  <si>
    <t>1925 Sørreisa</t>
  </si>
  <si>
    <t>1926 Dyrøy</t>
  </si>
  <si>
    <t>1927 Tranøy</t>
  </si>
  <si>
    <t>1928 Torsken</t>
  </si>
  <si>
    <t>1929 Berg</t>
  </si>
  <si>
    <t>1931 Lenvik</t>
  </si>
  <si>
    <t>1933 Balsfjord</t>
  </si>
  <si>
    <t>1936 Karlsøy</t>
  </si>
  <si>
    <t>1938 Lyngen</t>
  </si>
  <si>
    <t>1939 Storfjord</t>
  </si>
  <si>
    <t>1940 Gaivuotna - Kåfjord</t>
  </si>
  <si>
    <t>1941 Skjervøy</t>
  </si>
  <si>
    <t>1942 Nordreisa</t>
  </si>
  <si>
    <t>1943 Kvænangen</t>
  </si>
  <si>
    <t>2002 Vardø</t>
  </si>
  <si>
    <t>2003 Vadsø</t>
  </si>
  <si>
    <t>2004 Hammerfest</t>
  </si>
  <si>
    <t>2011 Guovdageaidnu - Kautokeino</t>
  </si>
  <si>
    <t>2012 Alta</t>
  </si>
  <si>
    <t>2014 Loppa</t>
  </si>
  <si>
    <t>2015 Hasvik</t>
  </si>
  <si>
    <t>2017 Kvalsund</t>
  </si>
  <si>
    <t>2018 Måsøy</t>
  </si>
  <si>
    <t>2019 Nordkapp</t>
  </si>
  <si>
    <t>2020 Porsanger</t>
  </si>
  <si>
    <t>2021 Karasjohka - Karasjok</t>
  </si>
  <si>
    <t>2022 Lebesby</t>
  </si>
  <si>
    <t>2023 Gamvik</t>
  </si>
  <si>
    <t>2024 Berlevåg</t>
  </si>
  <si>
    <t>2025 Deatnu - Tana</t>
  </si>
  <si>
    <t>2027 Unjarga - Nesseby</t>
  </si>
  <si>
    <t>2028 Båtsfjord</t>
  </si>
  <si>
    <t>2030 Sør-Varanger</t>
  </si>
  <si>
    <t>ReisetidOslo</t>
  </si>
  <si>
    <t>NIBR 11</t>
  </si>
  <si>
    <t>Vektingssett</t>
  </si>
  <si>
    <t>Reisetid</t>
  </si>
  <si>
    <t>Inntekt</t>
  </si>
  <si>
    <t>Sum vekt</t>
  </si>
  <si>
    <t>Geografi</t>
  </si>
  <si>
    <t>beftettotal</t>
  </si>
  <si>
    <t>Beftetthettotal</t>
  </si>
  <si>
    <t>Befvekst10</t>
  </si>
  <si>
    <t>Kvinneandel</t>
  </si>
  <si>
    <t>Eldreandel</t>
  </si>
  <si>
    <t>Sysselsettingsvekst10</t>
  </si>
  <si>
    <t>Yrkesaktivandel</t>
  </si>
  <si>
    <t>Syssvekst5</t>
  </si>
  <si>
    <t>Syssandel</t>
  </si>
  <si>
    <t>Demografi</t>
  </si>
  <si>
    <t>Arbeidsmarked</t>
  </si>
  <si>
    <t>Levekår</t>
  </si>
  <si>
    <t>Emneområde</t>
  </si>
  <si>
    <t>Trunkerte verdier</t>
  </si>
  <si>
    <t>befvekst10</t>
  </si>
  <si>
    <t>Syssvekst10</t>
  </si>
  <si>
    <t>Yrkesaktiveandel</t>
  </si>
  <si>
    <t>Persentil 0,1</t>
  </si>
  <si>
    <t>Persentil 0,9</t>
  </si>
  <si>
    <t>Maks</t>
  </si>
  <si>
    <t>Min</t>
  </si>
  <si>
    <t>Snitt</t>
  </si>
  <si>
    <t>Indekserte (og trunkerte) verdier</t>
  </si>
  <si>
    <t>ReisetidOslo-T</t>
  </si>
  <si>
    <t>Befvekst10-T</t>
  </si>
  <si>
    <t>Kvinneandel-T</t>
  </si>
  <si>
    <t>Eldreandel-T</t>
  </si>
  <si>
    <t>Sysselsettingsvekst10-T</t>
  </si>
  <si>
    <t>Yrkesaktivandel-T</t>
  </si>
  <si>
    <t>Inntekt-T</t>
  </si>
  <si>
    <t>ReisetidOslo-I</t>
  </si>
  <si>
    <t>Befvekst10-I</t>
  </si>
  <si>
    <t>Kvinneandel-I</t>
  </si>
  <si>
    <t>Eldreandel-I</t>
  </si>
  <si>
    <t>Sysselsettingsvekst10-I</t>
  </si>
  <si>
    <t>Yrkesaktivandel-I</t>
  </si>
  <si>
    <t>Inntekt-I</t>
  </si>
  <si>
    <t>Bredde</t>
  </si>
  <si>
    <t>Merknader</t>
  </si>
  <si>
    <t>Beftettotal-I</t>
  </si>
  <si>
    <t>Beftettotal</t>
  </si>
  <si>
    <t>Beftettotal-T</t>
  </si>
  <si>
    <t>Gjeldende vekter - totalareal</t>
  </si>
  <si>
    <t>NIBR11</t>
  </si>
  <si>
    <t>NIBR11-T</t>
  </si>
  <si>
    <t>NIBR11-I</t>
  </si>
  <si>
    <t>B15-O</t>
  </si>
  <si>
    <t>Eldre67+-O</t>
  </si>
  <si>
    <t>Kvinner20-39-O</t>
  </si>
  <si>
    <t>Folk20-64-O</t>
  </si>
  <si>
    <t>Totalareal2015-O</t>
  </si>
  <si>
    <t>Bruttoinntekt2013-O</t>
  </si>
  <si>
    <t>ReisetidOslo-O</t>
  </si>
  <si>
    <t>Y14-O</t>
  </si>
  <si>
    <t>S04-O</t>
  </si>
  <si>
    <t>S14-O</t>
  </si>
  <si>
    <t>B05-O</t>
  </si>
  <si>
    <t>DI2015 - Totalareal</t>
  </si>
  <si>
    <t>Grunnlagsdata</t>
  </si>
  <si>
    <t>Data som brukes direkte</t>
  </si>
  <si>
    <t>Utregninger</t>
  </si>
  <si>
    <t>Faktiske verdier (Hentet fra arket rådata)</t>
  </si>
  <si>
    <t>Vektede verdier</t>
  </si>
  <si>
    <t>NIBR11-v</t>
  </si>
  <si>
    <t>ReisetidOslo-v</t>
  </si>
  <si>
    <t>Beftettotal-v</t>
  </si>
  <si>
    <t>Befvekst10-v</t>
  </si>
  <si>
    <t>Kvinneandel-v</t>
  </si>
  <si>
    <t>Eldreandel-v</t>
  </si>
  <si>
    <t>Sysselsettingsvekst10-v</t>
  </si>
  <si>
    <t>Yrkesaktivandel-v</t>
  </si>
  <si>
    <t>Inntekt-v</t>
  </si>
  <si>
    <t>Distriktsindeksen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</si>
</sst>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_ * #,##0.0_ ;_ * \-#,##0.0_ ;_ * &quot;-&quot;??_ ;_ @_ "/>
    <numFmt numFmtId="166" formatCode="_ * #,##0_ ;_ * \-#,##0_ ;_ * &quot;-&quot;??_ ;_ @_ "/>
    <numFmt numFmtId="167" formatCode="_ * #,##0.000000000_ ;_ * \-#,##0.000000000_ ;_ * &quot;-&quot;??_ ;_ @_ "/>
    <numFmt numFmtId="168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 applyNumberFormat="0" applyBorder="0" applyAlignment="0"/>
  </cellStyleXfs>
  <cellXfs count="91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/>
    <xf numFmtId="0" fontId="6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1" fontId="0" fillId="0" borderId="0" xfId="0" applyNumberFormat="1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2" fillId="4" borderId="0" xfId="0" applyFont="1" applyFill="1"/>
    <xf numFmtId="0" fontId="0" fillId="5" borderId="0" xfId="0" applyFill="1"/>
    <xf numFmtId="0" fontId="2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2" fillId="7" borderId="0" xfId="0" applyFont="1" applyFill="1"/>
    <xf numFmtId="0" fontId="2" fillId="7" borderId="0" xfId="0" applyFont="1" applyFill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NumberFormat="1"/>
    <xf numFmtId="165" fontId="0" fillId="2" borderId="0" xfId="1" applyNumberFormat="1" applyFont="1" applyFill="1"/>
    <xf numFmtId="2" fontId="0" fillId="2" borderId="0" xfId="0" applyNumberFormat="1" applyFill="1"/>
    <xf numFmtId="166" fontId="0" fillId="2" borderId="0" xfId="1" applyNumberFormat="1" applyFont="1" applyFill="1"/>
    <xf numFmtId="164" fontId="0" fillId="2" borderId="0" xfId="0" applyNumberFormat="1" applyFill="1"/>
    <xf numFmtId="0" fontId="0" fillId="0" borderId="5" xfId="0" applyFill="1" applyBorder="1"/>
    <xf numFmtId="167" fontId="0" fillId="2" borderId="0" xfId="1" applyNumberFormat="1" applyFont="1" applyFill="1"/>
    <xf numFmtId="0" fontId="0" fillId="0" borderId="6" xfId="0" applyFill="1" applyBorder="1"/>
    <xf numFmtId="166" fontId="0" fillId="0" borderId="0" xfId="1" applyNumberFormat="1" applyFont="1" applyFill="1"/>
    <xf numFmtId="0" fontId="2" fillId="0" borderId="5" xfId="0" applyFont="1" applyFill="1" applyBorder="1"/>
    <xf numFmtId="164" fontId="0" fillId="0" borderId="0" xfId="0" applyNumberFormat="1"/>
    <xf numFmtId="0" fontId="0" fillId="0" borderId="0" xfId="0" applyFill="1" applyProtection="1"/>
    <xf numFmtId="2" fontId="0" fillId="0" borderId="0" xfId="0" applyNumberFormat="1"/>
    <xf numFmtId="168" fontId="0" fillId="0" borderId="0" xfId="0" applyNumberFormat="1"/>
    <xf numFmtId="0" fontId="7" fillId="0" borderId="0" xfId="2"/>
    <xf numFmtId="0" fontId="7" fillId="0" borderId="0" xfId="2"/>
    <xf numFmtId="0" fontId="7" fillId="0" borderId="0" xfId="2"/>
    <xf numFmtId="0" fontId="7" fillId="0" borderId="0" xfId="2"/>
    <xf numFmtId="0" fontId="8" fillId="0" borderId="0" xfId="3" applyFill="1" applyProtection="1"/>
    <xf numFmtId="1" fontId="5" fillId="0" borderId="0" xfId="0" applyNumberFormat="1" applyFont="1" applyFill="1"/>
    <xf numFmtId="0" fontId="0" fillId="2" borderId="0" xfId="0" applyFill="1" applyProtection="1"/>
    <xf numFmtId="0" fontId="0" fillId="3" borderId="7" xfId="0" applyFill="1" applyBorder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1" fontId="5" fillId="0" borderId="0" xfId="0" applyNumberFormat="1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left"/>
      <protection locked="0"/>
    </xf>
    <xf numFmtId="0" fontId="0" fillId="11" borderId="12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4" borderId="1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0" fillId="0" borderId="0" xfId="0" applyFont="1" applyFill="1"/>
    <xf numFmtId="0" fontId="10" fillId="0" borderId="5" xfId="0" applyFont="1" applyFill="1" applyBorder="1"/>
    <xf numFmtId="0" fontId="10" fillId="0" borderId="6" xfId="0" applyFont="1" applyFill="1" applyBorder="1"/>
    <xf numFmtId="1" fontId="0" fillId="0" borderId="0" xfId="0" applyNumberFormat="1" applyFont="1"/>
    <xf numFmtId="164" fontId="0" fillId="0" borderId="0" xfId="0" applyNumberFormat="1" applyFont="1"/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0" fillId="14" borderId="11" xfId="0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9" xfId="0" applyFill="1" applyBorder="1"/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</cellXfs>
  <cellStyles count="4">
    <cellStyle name="Komma" xfId="1" builtinId="3"/>
    <cellStyle name="Normal" xfId="0" builtinId="0"/>
    <cellStyle name="Normal 2" xfId="2"/>
    <cellStyle name="Normal 3" xfId="3"/>
  </cellStyles>
  <dxfs count="58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0" formatCode="General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4" formatCode="0.0"/>
    </dxf>
    <dxf>
      <numFmt numFmtId="164" formatCode="0.0"/>
    </dxf>
    <dxf>
      <numFmt numFmtId="0" formatCode="General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sz val="10"/>
      </font>
      <numFmt numFmtId="1" formatCode="0"/>
      <fill>
        <patternFill patternType="none">
          <fgColor indexed="64"/>
          <bgColor indexed="65"/>
        </patternFill>
      </fill>
    </dxf>
    <dxf>
      <font>
        <sz val="10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protection locked="1" hidden="0"/>
    </dxf>
    <dxf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relativeIndent="0" justifyLastLine="0" shrinkToFit="0" readingOrder="0"/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Rådatakommune" displayName="Rådatakommune" ref="A2:S430" totalsRowShown="0" headerRowDxfId="57">
  <autoFilter ref="A2:S430"/>
  <sortState ref="A3:U430">
    <sortCondition ref="A1:A429"/>
  </sortState>
  <tableColumns count="19">
    <tableColumn id="1" name="Kommunenavn" dataDxfId="56"/>
    <tableColumn id="6" name="B05-O" dataDxfId="55"/>
    <tableColumn id="7" name="B15-O" dataDxfId="54"/>
    <tableColumn id="11" name="Y14-O" dataDxfId="53"/>
    <tableColumn id="12" name="Eldre67+-O" dataDxfId="52"/>
    <tableColumn id="13" name="Kvinner20-39-O" dataDxfId="51"/>
    <tableColumn id="15" name="Folk20-64-O" dataDxfId="50"/>
    <tableColumn id="16" name="S04-O" dataDxfId="49"/>
    <tableColumn id="17" name="S14-O" dataDxfId="48"/>
    <tableColumn id="18" name="Totalareal2015-O" dataDxfId="47"/>
    <tableColumn id="19" name="Bruttoinntekt2013-O" dataDxfId="46" dataCellStyle="Normal 3"/>
    <tableColumn id="20" name="ReisetidOslo-O" dataDxfId="45"/>
    <tableColumn id="21" name="NIBR11" dataDxfId="44"/>
    <tableColumn id="22" name="beftettotal" dataDxfId="43">
      <calculatedColumnFormula>Rådatakommune[[#This Row],[B15-O]]/Rådatakommune[[#This Row],[Totalareal2015-O]]</calculatedColumnFormula>
    </tableColumn>
    <tableColumn id="23" name="befvekst10" dataDxfId="42">
      <calculatedColumnFormula>Rådatakommune[[#This Row],[B15-O]]/Rådatakommune[[#This Row],[B05-O]]-1</calculatedColumnFormula>
    </tableColumn>
    <tableColumn id="24" name="Kvinneandel" dataDxfId="41">
      <calculatedColumnFormula>Rådatakommune[[#This Row],[Kvinner20-39-O]]/Rådatakommune[[#This Row],[B15-O]]</calculatedColumnFormula>
    </tableColumn>
    <tableColumn id="25" name="Eldreandel" dataDxfId="40">
      <calculatedColumnFormula>Rådatakommune[[#This Row],[Eldre67+-O]]/Rådatakommune[[#This Row],[B15-O]]</calculatedColumnFormula>
    </tableColumn>
    <tableColumn id="26" name="Syssvekst10" dataDxfId="39">
      <calculatedColumnFormula>Rådatakommune[[#This Row],[S14-O]]/Rådatakommune[[#This Row],[S04-O]]-1</calculatedColumnFormula>
    </tableColumn>
    <tableColumn id="27" name="Yrkesaktiveandel" dataDxfId="38">
      <calculatedColumnFormula>Rådatakommune[[#This Row],[Y14-O]]/Rådatakommune[[#This Row],[Folk20-64-O]]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l2" displayName="Tabell2" ref="A3:AL431" totalsRowShown="0" headerRowDxfId="37">
  <autoFilter ref="A3:AL431"/>
  <sortState ref="A3:AC430">
    <sortCondition ref="A2:A430"/>
  </sortState>
  <tableColumns count="38">
    <tableColumn id="1" name="Kommunenavn" dataDxfId="36"/>
    <tableColumn id="2" name="NIBR11">
      <calculatedColumnFormula>'Rådata-K'!M3</calculatedColumnFormula>
    </tableColumn>
    <tableColumn id="3" name="ReisetidOslo" dataDxfId="35">
      <calculatedColumnFormula>'Rådata-K'!L3</calculatedColumnFormula>
    </tableColumn>
    <tableColumn id="4" name="Beftettotal" dataDxfId="34">
      <calculatedColumnFormula>'Rådata-K'!N3</calculatedColumnFormula>
    </tableColumn>
    <tableColumn id="33" name="Befvekst10" dataDxfId="33">
      <calculatedColumnFormula>'Rådata-K'!O3</calculatedColumnFormula>
    </tableColumn>
    <tableColumn id="5" name="Kvinneandel" dataDxfId="32">
      <calculatedColumnFormula>'Rådata-K'!P3</calculatedColumnFormula>
    </tableColumn>
    <tableColumn id="6" name="Eldreandel" dataDxfId="31">
      <calculatedColumnFormula>'Rådata-K'!Q3</calculatedColumnFormula>
    </tableColumn>
    <tableColumn id="7" name="Sysselsettingsvekst10" dataDxfId="30">
      <calculatedColumnFormula>'Rådata-K'!R3</calculatedColumnFormula>
    </tableColumn>
    <tableColumn id="8" name="Yrkesaktivandel" dataDxfId="29">
      <calculatedColumnFormula>'Rådata-K'!S3</calculatedColumnFormula>
    </tableColumn>
    <tableColumn id="9" name="Inntekt" dataDxfId="28">
      <calculatedColumnFormula>'Rådata-K'!K3</calculatedColumnFormula>
    </tableColumn>
    <tableColumn id="10" name="NIBR11-T" dataDxfId="27">
      <calculatedColumnFormula>Tabell2[[#This Row],[NIBR11]]</calculatedColumnFormula>
    </tableColumn>
    <tableColumn id="11" name="ReisetidOslo-T" dataDxfId="26">
      <calculatedColumnFormula>IF(Tabell2[[#This Row],[ReisetidOslo]]&lt;=C$434,C$434,IF(Tabell2[[#This Row],[ReisetidOslo]]&gt;=C$435,C$435,Tabell2[[#This Row],[ReisetidOslo]]))</calculatedColumnFormula>
    </tableColumn>
    <tableColumn id="12" name="Beftettotal-T" dataDxfId="25">
      <calculatedColumnFormula>IF(Tabell2[[#This Row],[Beftettotal]]&lt;=D$434,D$434,IF(Tabell2[[#This Row],[Beftettotal]]&gt;=D$435,D$435,Tabell2[[#This Row],[Beftettotal]]))</calculatedColumnFormula>
    </tableColumn>
    <tableColumn id="13" name="Befvekst10-T" dataDxfId="24">
      <calculatedColumnFormula>IF(Tabell2[[#This Row],[Befvekst10]]&lt;=E$434,E$434,IF(Tabell2[[#This Row],[Befvekst10]]&gt;=E$435,E$435,Tabell2[[#This Row],[Befvekst10]]))</calculatedColumnFormula>
    </tableColumn>
    <tableColumn id="32" name="Kvinneandel-T" dataDxfId="23">
      <calculatedColumnFormula>IF(Tabell2[[#This Row],[Kvinneandel]]&lt;=F$434,F$434,IF(Tabell2[[#This Row],[Kvinneandel]]&gt;=F$435,F$435,Tabell2[[#This Row],[Kvinneandel]]))</calculatedColumnFormula>
    </tableColumn>
    <tableColumn id="14" name="Eldreandel-T" dataDxfId="22">
      <calculatedColumnFormula>IF(Tabell2[[#This Row],[Eldreandel]]&lt;=G$434,G$434,IF(Tabell2[[#This Row],[Eldreandel]]&gt;=G$435,G$435,Tabell2[[#This Row],[Eldreandel]]))</calculatedColumnFormula>
    </tableColumn>
    <tableColumn id="15" name="Sysselsettingsvekst10-T" dataDxfId="21">
      <calculatedColumnFormula>IF(Tabell2[[#This Row],[Sysselsettingsvekst10]]&lt;=H$434,H$434,IF(Tabell2[[#This Row],[Sysselsettingsvekst10]]&gt;=H$435,H$435,Tabell2[[#This Row],[Sysselsettingsvekst10]]))</calculatedColumnFormula>
    </tableColumn>
    <tableColumn id="16" name="Yrkesaktivandel-T" dataDxfId="20">
      <calculatedColumnFormula>IF(Tabell2[[#This Row],[Yrkesaktivandel]]&lt;=I$434,I$434,IF(Tabell2[[#This Row],[Yrkesaktivandel]]&gt;=I$435,I$435,Tabell2[[#This Row],[Yrkesaktivandel]]))</calculatedColumnFormula>
    </tableColumn>
    <tableColumn id="17" name="Inntekt-T" dataDxfId="19">
      <calculatedColumnFormula>IF(Tabell2[[#This Row],[Inntekt]]&lt;=J$434,J$434,IF(Tabell2[[#This Row],[Inntekt]]&gt;=J$435,J$435,Tabell2[[#This Row],[Inntekt]]))</calculatedColumnFormula>
    </tableColumn>
    <tableColumn id="18" name="NIBR11-I" dataDxfId="18">
      <calculatedColumnFormula>IF(Tabell2[[#This Row],[NIBR11-T]]&lt;=K$437,100,IF(Tabell2[[#This Row],[NIBR11-T]]&gt;=K$436,0,100*(K$436-Tabell2[[#This Row],[NIBR11-T]])/K$439))</calculatedColumnFormula>
    </tableColumn>
    <tableColumn id="19" name="ReisetidOslo-I" dataDxfId="17">
      <calculatedColumnFormula>IF(Tabell2[[#This Row],[ReisetidOslo-T]]&lt;=L$437,100,IF(Tabell2[[#This Row],[ReisetidOslo-T]]&gt;=L$436,0,100*(L$436-Tabell2[[#This Row],[ReisetidOslo-T]])/L$439))</calculatedColumnFormula>
    </tableColumn>
    <tableColumn id="20" name="Beftettotal-I" dataDxfId="16">
      <calculatedColumnFormula>100-(M$436-Tabell2[[#This Row],[Beftettotal-T]])*100/M$439</calculatedColumnFormula>
    </tableColumn>
    <tableColumn id="21" name="Befvekst10-I" dataDxfId="15">
      <calculatedColumnFormula>100-(N$436-Tabell2[[#This Row],[Befvekst10-T]])*100/N$439</calculatedColumnFormula>
    </tableColumn>
    <tableColumn id="22" name="Kvinneandel-I" dataDxfId="14">
      <calculatedColumnFormula>100-(O$436-Tabell2[[#This Row],[Kvinneandel-T]])*100/O$439</calculatedColumnFormula>
    </tableColumn>
    <tableColumn id="31" name="Eldreandel-I" dataDxfId="13">
      <calculatedColumnFormula>(P$436-Tabell2[[#This Row],[Eldreandel-T]])*100/P$439</calculatedColumnFormula>
    </tableColumn>
    <tableColumn id="23" name="Sysselsettingsvekst10-I" dataDxfId="12">
      <calculatedColumnFormula>100-(Q$436-Tabell2[[#This Row],[Sysselsettingsvekst10-T]])*100/Q$439</calculatedColumnFormula>
    </tableColumn>
    <tableColumn id="24" name="Yrkesaktivandel-I" dataDxfId="11">
      <calculatedColumnFormula>100-(R$436-Tabell2[[#This Row],[Yrkesaktivandel-T]])*100/R$439</calculatedColumnFormula>
    </tableColumn>
    <tableColumn id="25" name="Inntekt-I" dataDxfId="10">
      <calculatedColumnFormula>100-(S$436-Tabell2[[#This Row],[Inntekt-T]])*100/S$439</calculatedColumnFormula>
    </tableColumn>
    <tableColumn id="26" name="NIBR11-v" dataDxfId="9">
      <calculatedColumnFormula>Tabell2[[#This Row],[NIBR11-I]]*Vekter!$B$3</calculatedColumnFormula>
    </tableColumn>
    <tableColumn id="27" name="ReisetidOslo-v" dataDxfId="8">
      <calculatedColumnFormula>Tabell2[[#This Row],[ReisetidOslo-I]]*Vekter!$C$3</calculatedColumnFormula>
    </tableColumn>
    <tableColumn id="28" name="Beftettotal-v" dataDxfId="7">
      <calculatedColumnFormula>Tabell2[[#This Row],[Beftettotal-I]]*Vekter!$D$3</calculatedColumnFormula>
    </tableColumn>
    <tableColumn id="29" name="Befvekst10-v" dataDxfId="6">
      <calculatedColumnFormula>Tabell2[[#This Row],[Befvekst10-I]]*Vekter!$E$3</calculatedColumnFormula>
    </tableColumn>
    <tableColumn id="30" name="Kvinneandel-v" dataDxfId="5">
      <calculatedColumnFormula>Tabell2[[#This Row],[Kvinneandel-I]]*Vekter!$F$3</calculatedColumnFormula>
    </tableColumn>
    <tableColumn id="34" name="Eldreandel-v" dataDxfId="4">
      <calculatedColumnFormula>Tabell2[[#This Row],[Eldreandel-I]]*Vekter!$G$3</calculatedColumnFormula>
    </tableColumn>
    <tableColumn id="35" name="Sysselsettingsvekst10-v" dataDxfId="3">
      <calculatedColumnFormula>Tabell2[[#This Row],[Sysselsettingsvekst10-I]]*Vekter!$H$3</calculatedColumnFormula>
    </tableColumn>
    <tableColumn id="36" name="Yrkesaktivandel-v" dataDxfId="2">
      <calculatedColumnFormula>Tabell2[[#This Row],[Yrkesaktivandel-I]]*Vekter!$J$3</calculatedColumnFormula>
    </tableColumn>
    <tableColumn id="37" name="Inntekt-v" dataDxfId="1">
      <calculatedColumnFormula>Tabell2[[#This Row],[Inntekt-I]]*Vekter!$L$3</calculatedColumnFormula>
    </tableColumn>
    <tableColumn id="38" name="Distriktsindeksen 2015" dataDxfId="0">
      <calculatedColumnFormula>SUM(Tabell2[[#This Row],[NIBR11-v]:[Inntekt-v]])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0"/>
  <sheetViews>
    <sheetView workbookViewId="0">
      <pane xSplit="1" ySplit="2" topLeftCell="B388" activePane="bottomRight" state="frozen"/>
      <selection pane="topRight" activeCell="B1" sqref="B1"/>
      <selection pane="bottomLeft" activeCell="A2" sqref="A2"/>
      <selection pane="bottomRight" activeCell="P3" sqref="P3:S430"/>
    </sheetView>
  </sheetViews>
  <sheetFormatPr baseColWidth="10" defaultColWidth="25" defaultRowHeight="15" x14ac:dyDescent="0.25"/>
  <cols>
    <col min="2" max="3" width="8.140625" bestFit="1" customWidth="1"/>
    <col min="4" max="4" width="7" bestFit="1" customWidth="1"/>
    <col min="5" max="5" width="12" bestFit="1" customWidth="1"/>
    <col min="6" max="6" width="15.7109375" bestFit="1" customWidth="1"/>
    <col min="7" max="7" width="12.85546875" bestFit="1" customWidth="1"/>
    <col min="8" max="9" width="7" bestFit="1" customWidth="1"/>
    <col min="10" max="10" width="18" bestFit="1" customWidth="1"/>
    <col min="11" max="11" width="18.42578125" bestFit="1" customWidth="1"/>
    <col min="12" max="12" width="21.5703125" bestFit="1" customWidth="1"/>
    <col min="13" max="13" width="14.42578125" customWidth="1"/>
    <col min="14" max="14" width="8.28515625" bestFit="1" customWidth="1"/>
    <col min="15" max="15" width="13.28515625" bestFit="1" customWidth="1"/>
    <col min="16" max="17" width="12.85546875" bestFit="1" customWidth="1"/>
    <col min="18" max="18" width="14.28515625" bestFit="1" customWidth="1"/>
    <col min="19" max="19" width="12.7109375" bestFit="1" customWidth="1"/>
  </cols>
  <sheetData>
    <row r="1" spans="1:19" x14ac:dyDescent="0.25">
      <c r="B1" s="57" t="s">
        <v>494</v>
      </c>
      <c r="C1" s="57"/>
      <c r="D1" s="57"/>
      <c r="E1" s="57"/>
      <c r="F1" s="57"/>
      <c r="G1" s="57"/>
      <c r="H1" s="57"/>
      <c r="I1" s="57"/>
      <c r="J1" s="57"/>
      <c r="K1" s="58" t="s">
        <v>495</v>
      </c>
      <c r="L1" s="58"/>
      <c r="M1" s="58"/>
      <c r="N1" s="59" t="s">
        <v>496</v>
      </c>
      <c r="O1" s="59"/>
      <c r="P1" s="59"/>
      <c r="Q1" s="59"/>
      <c r="R1" s="59"/>
      <c r="S1" s="59"/>
    </row>
    <row r="2" spans="1:19" x14ac:dyDescent="0.25">
      <c r="A2" s="4" t="s">
        <v>0</v>
      </c>
      <c r="B2" s="3" t="s">
        <v>492</v>
      </c>
      <c r="C2" s="3" t="s">
        <v>482</v>
      </c>
      <c r="D2" s="3" t="s">
        <v>489</v>
      </c>
      <c r="E2" s="3" t="s">
        <v>483</v>
      </c>
      <c r="F2" s="3" t="s">
        <v>484</v>
      </c>
      <c r="G2" s="3" t="s">
        <v>485</v>
      </c>
      <c r="H2" s="3" t="s">
        <v>490</v>
      </c>
      <c r="I2" s="3" t="s">
        <v>491</v>
      </c>
      <c r="J2" s="6" t="s">
        <v>486</v>
      </c>
      <c r="K2" s="6" t="s">
        <v>487</v>
      </c>
      <c r="L2" s="44" t="s">
        <v>488</v>
      </c>
      <c r="M2" s="46" t="s">
        <v>479</v>
      </c>
      <c r="N2" s="6" t="s">
        <v>436</v>
      </c>
      <c r="O2" s="6" t="s">
        <v>450</v>
      </c>
      <c r="P2" s="44" t="s">
        <v>439</v>
      </c>
      <c r="Q2" s="44" t="s">
        <v>440</v>
      </c>
      <c r="R2" s="44" t="s">
        <v>451</v>
      </c>
      <c r="S2" s="6" t="s">
        <v>452</v>
      </c>
    </row>
    <row r="3" spans="1:19" x14ac:dyDescent="0.25">
      <c r="A3" s="1" t="s">
        <v>1</v>
      </c>
      <c r="B3" s="37">
        <v>27582</v>
      </c>
      <c r="C3" s="36">
        <v>30328</v>
      </c>
      <c r="D3" s="33">
        <v>13830</v>
      </c>
      <c r="E3" s="38">
        <v>4921</v>
      </c>
      <c r="F3" s="39">
        <v>3609</v>
      </c>
      <c r="G3">
        <v>17524</v>
      </c>
      <c r="H3" s="33">
        <v>11524</v>
      </c>
      <c r="I3" s="33">
        <v>12842</v>
      </c>
      <c r="J3" s="5">
        <v>642.23</v>
      </c>
      <c r="K3" s="40">
        <v>350700</v>
      </c>
      <c r="L3" s="45">
        <v>75.733333333299996</v>
      </c>
      <c r="M3" s="41">
        <v>5</v>
      </c>
      <c r="N3" s="32">
        <f>Rådatakommune[[#This Row],[B15-O]]/Rådatakommune[[#This Row],[Totalareal2015-O]]</f>
        <v>47.222957507435027</v>
      </c>
      <c r="O3" s="34">
        <f>Rådatakommune[[#This Row],[B15-O]]/Rådatakommune[[#This Row],[B05-O]]-1</f>
        <v>9.9557682546588255E-2</v>
      </c>
      <c r="P3" s="34">
        <f>Rådatakommune[[#This Row],[Kvinner20-39-O]]/Rådatakommune[[#This Row],[B15-O]]</f>
        <v>0.11899894486942759</v>
      </c>
      <c r="Q3" s="34">
        <f>Rådatakommune[[#This Row],[Eldre67+-O]]/Rådatakommune[[#This Row],[B15-O]]</f>
        <v>0.16225929833816935</v>
      </c>
      <c r="R3" s="34">
        <f>Rådatakommune[[#This Row],[S14-O]]/Rådatakommune[[#This Row],[S04-O]]-1</f>
        <v>0.11437001041305095</v>
      </c>
      <c r="S3" s="34">
        <f>Rådatakommune[[#This Row],[Y14-O]]/Rådatakommune[[#This Row],[Folk20-64-O]]</f>
        <v>0.78920337822414977</v>
      </c>
    </row>
    <row r="4" spans="1:19" x14ac:dyDescent="0.25">
      <c r="A4" s="1" t="s">
        <v>2</v>
      </c>
      <c r="B4" s="37">
        <v>28040</v>
      </c>
      <c r="C4" s="36">
        <v>31802</v>
      </c>
      <c r="D4" s="33">
        <v>14725</v>
      </c>
      <c r="E4" s="38">
        <v>5188</v>
      </c>
      <c r="F4" s="39">
        <v>3690</v>
      </c>
      <c r="G4">
        <v>18473</v>
      </c>
      <c r="H4" s="33">
        <v>13870</v>
      </c>
      <c r="I4" s="33">
        <v>14071</v>
      </c>
      <c r="J4" s="5">
        <v>63.57</v>
      </c>
      <c r="K4" s="40">
        <v>373300</v>
      </c>
      <c r="L4" s="45">
        <v>41.7166666667</v>
      </c>
      <c r="M4" s="41">
        <v>4</v>
      </c>
      <c r="N4" s="32">
        <f>Rådatakommune[[#This Row],[B15-O]]/Rådatakommune[[#This Row],[Totalareal2015-O]]</f>
        <v>500.26742173981438</v>
      </c>
      <c r="O4" s="34">
        <f>Rådatakommune[[#This Row],[B15-O]]/Rådatakommune[[#This Row],[B05-O]]-1</f>
        <v>0.13416547788873046</v>
      </c>
      <c r="P4" s="34">
        <f>Rådatakommune[[#This Row],[Kvinner20-39-O]]/Rådatakommune[[#This Row],[B15-O]]</f>
        <v>0.11603043833721149</v>
      </c>
      <c r="Q4" s="34">
        <f>Rådatakommune[[#This Row],[Eldre67+-O]]/Rådatakommune[[#This Row],[B15-O]]</f>
        <v>0.16313439406326646</v>
      </c>
      <c r="R4" s="34">
        <f>Rådatakommune[[#This Row],[S14-O]]/Rådatakommune[[#This Row],[S04-O]]-1</f>
        <v>1.4491708723864516E-2</v>
      </c>
      <c r="S4" s="34">
        <f>Rådatakommune[[#This Row],[Y14-O]]/Rådatakommune[[#This Row],[Folk20-64-O]]</f>
        <v>0.79710929464624047</v>
      </c>
    </row>
    <row r="5" spans="1:19" x14ac:dyDescent="0.25">
      <c r="A5" s="1" t="s">
        <v>3</v>
      </c>
      <c r="B5" s="37">
        <v>49753</v>
      </c>
      <c r="C5" s="36">
        <v>54192</v>
      </c>
      <c r="D5" s="33">
        <v>24969</v>
      </c>
      <c r="E5" s="38">
        <v>8455</v>
      </c>
      <c r="F5" s="39">
        <v>6439</v>
      </c>
      <c r="G5">
        <v>31325</v>
      </c>
      <c r="H5" s="33">
        <v>21559</v>
      </c>
      <c r="I5" s="33">
        <v>23625</v>
      </c>
      <c r="J5" s="5">
        <v>404.98</v>
      </c>
      <c r="K5" s="40">
        <v>349800</v>
      </c>
      <c r="L5" s="45">
        <v>59.5333333333</v>
      </c>
      <c r="M5" s="41">
        <v>2</v>
      </c>
      <c r="N5" s="32">
        <f>Rådatakommune[[#This Row],[B15-O]]/Rådatakommune[[#This Row],[Totalareal2015-O]]</f>
        <v>133.8140155069386</v>
      </c>
      <c r="O5" s="34">
        <f>Rådatakommune[[#This Row],[B15-O]]/Rådatakommune[[#This Row],[B05-O]]-1</f>
        <v>8.9220750507507107E-2</v>
      </c>
      <c r="P5" s="34">
        <f>Rådatakommune[[#This Row],[Kvinner20-39-O]]/Rådatakommune[[#This Row],[B15-O]]</f>
        <v>0.11881827576025981</v>
      </c>
      <c r="Q5" s="34">
        <f>Rådatakommune[[#This Row],[Eldre67+-O]]/Rådatakommune[[#This Row],[B15-O]]</f>
        <v>0.1560193386477709</v>
      </c>
      <c r="R5" s="34">
        <f>Rådatakommune[[#This Row],[S14-O]]/Rådatakommune[[#This Row],[S04-O]]-1</f>
        <v>9.5830047775870897E-2</v>
      </c>
      <c r="S5" s="34">
        <f>Rådatakommune[[#This Row],[Y14-O]]/Rådatakommune[[#This Row],[Folk20-64-O]]</f>
        <v>0.79709497206703905</v>
      </c>
    </row>
    <row r="6" spans="1:19" x14ac:dyDescent="0.25">
      <c r="A6" s="1" t="s">
        <v>4</v>
      </c>
      <c r="B6" s="37">
        <v>70418</v>
      </c>
      <c r="C6" s="36">
        <v>78159</v>
      </c>
      <c r="D6" s="33">
        <v>36734</v>
      </c>
      <c r="E6" s="38">
        <v>12096</v>
      </c>
      <c r="F6" s="39">
        <v>9184</v>
      </c>
      <c r="G6">
        <v>45698</v>
      </c>
      <c r="H6" s="33">
        <v>32724</v>
      </c>
      <c r="I6" s="33">
        <v>35431</v>
      </c>
      <c r="J6" s="5">
        <v>286.71999999999997</v>
      </c>
      <c r="K6" s="40">
        <v>369800</v>
      </c>
      <c r="L6" s="45">
        <v>62.816666666700002</v>
      </c>
      <c r="M6" s="41">
        <v>2</v>
      </c>
      <c r="N6" s="32">
        <f>Rådatakommune[[#This Row],[B15-O]]/Rådatakommune[[#This Row],[Totalareal2015-O]]</f>
        <v>272.59695870535717</v>
      </c>
      <c r="O6" s="34">
        <f>Rådatakommune[[#This Row],[B15-O]]/Rådatakommune[[#This Row],[B05-O]]-1</f>
        <v>0.10992927944559638</v>
      </c>
      <c r="P6" s="34">
        <f>Rådatakommune[[#This Row],[Kvinner20-39-O]]/Rådatakommune[[#This Row],[B15-O]]</f>
        <v>0.11750406223211658</v>
      </c>
      <c r="Q6" s="34">
        <f>Rådatakommune[[#This Row],[Eldre67+-O]]/Rådatakommune[[#This Row],[B15-O]]</f>
        <v>0.15476144781790965</v>
      </c>
      <c r="R6" s="34">
        <f>Rådatakommune[[#This Row],[S14-O]]/Rådatakommune[[#This Row],[S04-O]]-1</f>
        <v>8.2722161104999303E-2</v>
      </c>
      <c r="S6" s="34">
        <f>Rådatakommune[[#This Row],[Y14-O]]/Rådatakommune[[#This Row],[Folk20-64-O]]</f>
        <v>0.80384261893299491</v>
      </c>
    </row>
    <row r="7" spans="1:19" x14ac:dyDescent="0.25">
      <c r="A7" s="1" t="s">
        <v>5</v>
      </c>
      <c r="B7" s="37">
        <v>3773</v>
      </c>
      <c r="C7" s="36">
        <v>4480</v>
      </c>
      <c r="D7" s="33">
        <v>2155</v>
      </c>
      <c r="E7" s="38">
        <v>828</v>
      </c>
      <c r="F7" s="39">
        <v>431</v>
      </c>
      <c r="G7">
        <v>2569</v>
      </c>
      <c r="H7" s="33">
        <v>1004</v>
      </c>
      <c r="I7" s="33">
        <v>1207</v>
      </c>
      <c r="J7" s="5">
        <v>90.12</v>
      </c>
      <c r="K7" s="40">
        <v>418200</v>
      </c>
      <c r="L7" s="45">
        <v>88.183333333299998</v>
      </c>
      <c r="M7" s="41">
        <v>3</v>
      </c>
      <c r="N7" s="32">
        <f>Rådatakommune[[#This Row],[B15-O]]/Rådatakommune[[#This Row],[Totalareal2015-O]]</f>
        <v>49.711495783399911</v>
      </c>
      <c r="O7" s="34">
        <f>Rådatakommune[[#This Row],[B15-O]]/Rådatakommune[[#This Row],[B05-O]]-1</f>
        <v>0.18738404452690172</v>
      </c>
      <c r="P7" s="34">
        <f>Rådatakommune[[#This Row],[Kvinner20-39-O]]/Rådatakommune[[#This Row],[B15-O]]</f>
        <v>9.6205357142857148E-2</v>
      </c>
      <c r="Q7" s="34">
        <f>Rådatakommune[[#This Row],[Eldre67+-O]]/Rådatakommune[[#This Row],[B15-O]]</f>
        <v>0.18482142857142858</v>
      </c>
      <c r="R7" s="34">
        <f>Rådatakommune[[#This Row],[S14-O]]/Rådatakommune[[#This Row],[S04-O]]-1</f>
        <v>0.202191235059761</v>
      </c>
      <c r="S7" s="34">
        <f>Rådatakommune[[#This Row],[Y14-O]]/Rådatakommune[[#This Row],[Folk20-64-O]]</f>
        <v>0.83884780070066178</v>
      </c>
    </row>
    <row r="8" spans="1:19" x14ac:dyDescent="0.25">
      <c r="A8" s="1" t="s">
        <v>6</v>
      </c>
      <c r="B8" s="37">
        <v>1425</v>
      </c>
      <c r="C8" s="36">
        <v>1406</v>
      </c>
      <c r="D8" s="33">
        <v>684</v>
      </c>
      <c r="E8" s="38">
        <v>259</v>
      </c>
      <c r="F8" s="39">
        <v>123</v>
      </c>
      <c r="G8">
        <v>789</v>
      </c>
      <c r="H8" s="33">
        <v>344</v>
      </c>
      <c r="I8" s="33">
        <v>380</v>
      </c>
      <c r="J8" s="5">
        <v>319.27</v>
      </c>
      <c r="K8" s="40">
        <v>347300</v>
      </c>
      <c r="L8" s="45">
        <v>90.233333333299996</v>
      </c>
      <c r="M8" s="41">
        <v>5</v>
      </c>
      <c r="N8" s="32">
        <f>Rådatakommune[[#This Row],[B15-O]]/Rådatakommune[[#This Row],[Totalareal2015-O]]</f>
        <v>4.4037961599899775</v>
      </c>
      <c r="O8" s="34">
        <f>Rådatakommune[[#This Row],[B15-O]]/Rådatakommune[[#This Row],[B05-O]]-1</f>
        <v>-1.3333333333333308E-2</v>
      </c>
      <c r="P8" s="34">
        <f>Rådatakommune[[#This Row],[Kvinner20-39-O]]/Rådatakommune[[#This Row],[B15-O]]</f>
        <v>8.7482219061166433E-2</v>
      </c>
      <c r="Q8" s="34">
        <f>Rådatakommune[[#This Row],[Eldre67+-O]]/Rådatakommune[[#This Row],[B15-O]]</f>
        <v>0.18421052631578946</v>
      </c>
      <c r="R8" s="34">
        <f>Rådatakommune[[#This Row],[S14-O]]/Rådatakommune[[#This Row],[S04-O]]-1</f>
        <v>0.10465116279069764</v>
      </c>
      <c r="S8" s="34">
        <f>Rådatakommune[[#This Row],[Y14-O]]/Rådatakommune[[#This Row],[Folk20-64-O]]</f>
        <v>0.86692015209125473</v>
      </c>
    </row>
    <row r="9" spans="1:19" x14ac:dyDescent="0.25">
      <c r="A9" s="1" t="s">
        <v>7</v>
      </c>
      <c r="B9" s="37">
        <v>3439</v>
      </c>
      <c r="C9" s="36">
        <v>3613</v>
      </c>
      <c r="D9" s="33">
        <v>1698</v>
      </c>
      <c r="E9" s="38">
        <v>738</v>
      </c>
      <c r="F9" s="39">
        <v>356</v>
      </c>
      <c r="G9">
        <v>1974</v>
      </c>
      <c r="H9" s="33">
        <v>1209</v>
      </c>
      <c r="I9" s="33">
        <v>1221</v>
      </c>
      <c r="J9" s="5">
        <v>412.9</v>
      </c>
      <c r="K9" s="40">
        <v>344700</v>
      </c>
      <c r="L9" s="45">
        <v>65.05</v>
      </c>
      <c r="M9" s="41">
        <v>5</v>
      </c>
      <c r="N9" s="32">
        <f>Rådatakommune[[#This Row],[B15-O]]/Rådatakommune[[#This Row],[Totalareal2015-O]]</f>
        <v>8.7503027367401316</v>
      </c>
      <c r="O9" s="34">
        <f>Rådatakommune[[#This Row],[B15-O]]/Rådatakommune[[#This Row],[B05-O]]-1</f>
        <v>5.0596103518464774E-2</v>
      </c>
      <c r="P9" s="34">
        <f>Rådatakommune[[#This Row],[Kvinner20-39-O]]/Rådatakommune[[#This Row],[B15-O]]</f>
        <v>9.8533075006919463E-2</v>
      </c>
      <c r="Q9" s="34">
        <f>Rådatakommune[[#This Row],[Eldre67+-O]]/Rådatakommune[[#This Row],[B15-O]]</f>
        <v>0.20426238582895101</v>
      </c>
      <c r="R9" s="34">
        <f>Rådatakommune[[#This Row],[S14-O]]/Rådatakommune[[#This Row],[S04-O]]-1</f>
        <v>9.9255583126551805E-3</v>
      </c>
      <c r="S9" s="34">
        <f>Rådatakommune[[#This Row],[Y14-O]]/Rådatakommune[[#This Row],[Folk20-64-O]]</f>
        <v>0.86018237082066873</v>
      </c>
    </row>
    <row r="10" spans="1:19" x14ac:dyDescent="0.25">
      <c r="A10" s="1" t="s">
        <v>8</v>
      </c>
      <c r="B10" s="37">
        <v>667</v>
      </c>
      <c r="C10" s="36">
        <v>672</v>
      </c>
      <c r="D10" s="33">
        <v>337</v>
      </c>
      <c r="E10" s="38">
        <v>140</v>
      </c>
      <c r="F10" s="39">
        <v>54</v>
      </c>
      <c r="G10">
        <v>373</v>
      </c>
      <c r="H10" s="33">
        <v>175</v>
      </c>
      <c r="I10" s="33">
        <v>235</v>
      </c>
      <c r="J10" s="5">
        <v>183.14</v>
      </c>
      <c r="K10" s="40">
        <v>356000</v>
      </c>
      <c r="L10" s="45">
        <v>68.150000000000006</v>
      </c>
      <c r="M10" s="41">
        <v>1</v>
      </c>
      <c r="N10" s="32">
        <f>Rådatakommune[[#This Row],[B15-O]]/Rådatakommune[[#This Row],[Totalareal2015-O]]</f>
        <v>3.669324014415202</v>
      </c>
      <c r="O10" s="34">
        <f>Rådatakommune[[#This Row],[B15-O]]/Rådatakommune[[#This Row],[B05-O]]-1</f>
        <v>7.496251874062887E-3</v>
      </c>
      <c r="P10" s="34">
        <f>Rådatakommune[[#This Row],[Kvinner20-39-O]]/Rådatakommune[[#This Row],[B15-O]]</f>
        <v>8.0357142857142863E-2</v>
      </c>
      <c r="Q10" s="34">
        <f>Rådatakommune[[#This Row],[Eldre67+-O]]/Rådatakommune[[#This Row],[B15-O]]</f>
        <v>0.20833333333333334</v>
      </c>
      <c r="R10" s="34">
        <f>Rådatakommune[[#This Row],[S14-O]]/Rådatakommune[[#This Row],[S04-O]]-1</f>
        <v>0.34285714285714275</v>
      </c>
      <c r="S10" s="34">
        <f>Rådatakommune[[#This Row],[Y14-O]]/Rådatakommune[[#This Row],[Folk20-64-O]]</f>
        <v>0.90348525469168905</v>
      </c>
    </row>
    <row r="11" spans="1:19" x14ac:dyDescent="0.25">
      <c r="A11" s="1" t="s">
        <v>9</v>
      </c>
      <c r="B11" s="37">
        <v>4962</v>
      </c>
      <c r="C11" s="36">
        <v>5346</v>
      </c>
      <c r="D11" s="33">
        <v>2713</v>
      </c>
      <c r="E11" s="38">
        <v>861</v>
      </c>
      <c r="F11" s="39">
        <v>576</v>
      </c>
      <c r="G11">
        <v>3095</v>
      </c>
      <c r="H11" s="33">
        <v>1360</v>
      </c>
      <c r="I11" s="33">
        <v>1557</v>
      </c>
      <c r="J11" s="5">
        <v>204.45000000000002</v>
      </c>
      <c r="K11" s="40">
        <v>363500</v>
      </c>
      <c r="L11" s="45">
        <v>54.3</v>
      </c>
      <c r="M11" s="41">
        <v>5</v>
      </c>
      <c r="N11" s="32">
        <f>Rådatakommune[[#This Row],[B15-O]]/Rådatakommune[[#This Row],[Totalareal2015-O]]</f>
        <v>26.148202494497429</v>
      </c>
      <c r="O11" s="34">
        <f>Rådatakommune[[#This Row],[B15-O]]/Rådatakommune[[#This Row],[B05-O]]-1</f>
        <v>7.7388149939540574E-2</v>
      </c>
      <c r="P11" s="34">
        <f>Rådatakommune[[#This Row],[Kvinner20-39-O]]/Rådatakommune[[#This Row],[B15-O]]</f>
        <v>0.10774410774410774</v>
      </c>
      <c r="Q11" s="34">
        <f>Rådatakommune[[#This Row],[Eldre67+-O]]/Rådatakommune[[#This Row],[B15-O]]</f>
        <v>0.16105499438832771</v>
      </c>
      <c r="R11" s="34">
        <f>Rådatakommune[[#This Row],[S14-O]]/Rådatakommune[[#This Row],[S04-O]]-1</f>
        <v>0.14485294117647052</v>
      </c>
      <c r="S11" s="34">
        <f>Rådatakommune[[#This Row],[Y14-O]]/Rådatakommune[[#This Row],[Folk20-64-O]]</f>
        <v>0.87657512116316638</v>
      </c>
    </row>
    <row r="12" spans="1:19" x14ac:dyDescent="0.25">
      <c r="A12" s="1" t="s">
        <v>10</v>
      </c>
      <c r="B12" s="37">
        <v>4798</v>
      </c>
      <c r="C12" s="36">
        <v>5692</v>
      </c>
      <c r="D12" s="33">
        <v>2831</v>
      </c>
      <c r="E12" s="38">
        <v>858</v>
      </c>
      <c r="F12" s="39">
        <v>660</v>
      </c>
      <c r="G12">
        <v>3236</v>
      </c>
      <c r="H12" s="33">
        <v>1662</v>
      </c>
      <c r="I12" s="33">
        <v>1946</v>
      </c>
      <c r="J12" s="5">
        <v>142.03</v>
      </c>
      <c r="K12" s="40">
        <v>383700</v>
      </c>
      <c r="L12" s="45">
        <v>39.75</v>
      </c>
      <c r="M12" s="41">
        <v>1</v>
      </c>
      <c r="N12" s="32">
        <f>Rådatakommune[[#This Row],[B15-O]]/Rådatakommune[[#This Row],[Totalareal2015-O]]</f>
        <v>40.076040273181725</v>
      </c>
      <c r="O12" s="34">
        <f>Rådatakommune[[#This Row],[B15-O]]/Rådatakommune[[#This Row],[B05-O]]-1</f>
        <v>0.18632763651521467</v>
      </c>
      <c r="P12" s="34">
        <f>Rådatakommune[[#This Row],[Kvinner20-39-O]]/Rådatakommune[[#This Row],[B15-O]]</f>
        <v>0.11595221363316936</v>
      </c>
      <c r="Q12" s="34">
        <f>Rådatakommune[[#This Row],[Eldre67+-O]]/Rådatakommune[[#This Row],[B15-O]]</f>
        <v>0.15073787772312017</v>
      </c>
      <c r="R12" s="34">
        <f>Rådatakommune[[#This Row],[S14-O]]/Rådatakommune[[#This Row],[S04-O]]-1</f>
        <v>0.17087845968712401</v>
      </c>
      <c r="S12" s="34">
        <f>Rådatakommune[[#This Row],[Y14-O]]/Rådatakommune[[#This Row],[Folk20-64-O]]</f>
        <v>0.87484548825710751</v>
      </c>
    </row>
    <row r="13" spans="1:19" x14ac:dyDescent="0.25">
      <c r="A13" s="1" t="s">
        <v>11</v>
      </c>
      <c r="B13" s="37">
        <v>14089</v>
      </c>
      <c r="C13" s="36">
        <v>15513</v>
      </c>
      <c r="D13" s="33">
        <v>7319</v>
      </c>
      <c r="E13" s="38">
        <v>2242</v>
      </c>
      <c r="F13" s="39">
        <v>1825</v>
      </c>
      <c r="G13">
        <v>9049</v>
      </c>
      <c r="H13" s="33">
        <v>5574</v>
      </c>
      <c r="I13" s="33">
        <v>5931</v>
      </c>
      <c r="J13" s="5">
        <v>69.149999999999991</v>
      </c>
      <c r="K13" s="40">
        <v>359300</v>
      </c>
      <c r="L13" s="45">
        <v>43.583333333299997</v>
      </c>
      <c r="M13" s="41">
        <v>5</v>
      </c>
      <c r="N13" s="32">
        <f>Rådatakommune[[#This Row],[B15-O]]/Rådatakommune[[#This Row],[Totalareal2015-O]]</f>
        <v>224.33839479392628</v>
      </c>
      <c r="O13" s="34">
        <f>Rådatakommune[[#This Row],[B15-O]]/Rådatakommune[[#This Row],[B05-O]]-1</f>
        <v>0.10107175810916313</v>
      </c>
      <c r="P13" s="34">
        <f>Rådatakommune[[#This Row],[Kvinner20-39-O]]/Rådatakommune[[#This Row],[B15-O]]</f>
        <v>0.11764326693740734</v>
      </c>
      <c r="Q13" s="34">
        <f>Rådatakommune[[#This Row],[Eldre67+-O]]/Rådatakommune[[#This Row],[B15-O]]</f>
        <v>0.14452394765680396</v>
      </c>
      <c r="R13" s="34">
        <f>Rådatakommune[[#This Row],[S14-O]]/Rådatakommune[[#This Row],[S04-O]]-1</f>
        <v>6.404736275565126E-2</v>
      </c>
      <c r="S13" s="34">
        <f>Rådatakommune[[#This Row],[Y14-O]]/Rådatakommune[[#This Row],[Folk20-64-O]]</f>
        <v>0.80881865399491659</v>
      </c>
    </row>
    <row r="14" spans="1:19" x14ac:dyDescent="0.25">
      <c r="A14" s="1" t="s">
        <v>12</v>
      </c>
      <c r="B14" s="37">
        <v>10203</v>
      </c>
      <c r="C14" s="36">
        <v>11353</v>
      </c>
      <c r="D14" s="33">
        <v>5421</v>
      </c>
      <c r="E14" s="38">
        <v>1803</v>
      </c>
      <c r="F14" s="39">
        <v>1292</v>
      </c>
      <c r="G14">
        <v>6509</v>
      </c>
      <c r="H14" s="33">
        <v>4670</v>
      </c>
      <c r="I14" s="33">
        <v>4857</v>
      </c>
      <c r="J14" s="5">
        <v>235.91</v>
      </c>
      <c r="K14" s="40">
        <v>348100</v>
      </c>
      <c r="L14" s="45">
        <v>51.433333333299998</v>
      </c>
      <c r="M14" s="41">
        <v>5</v>
      </c>
      <c r="N14" s="32">
        <f>Rådatakommune[[#This Row],[B15-O]]/Rådatakommune[[#This Row],[Totalareal2015-O]]</f>
        <v>48.124284684837441</v>
      </c>
      <c r="O14" s="34">
        <f>Rådatakommune[[#This Row],[B15-O]]/Rådatakommune[[#This Row],[B05-O]]-1</f>
        <v>0.11271194746643154</v>
      </c>
      <c r="P14" s="34">
        <f>Rådatakommune[[#This Row],[Kvinner20-39-O]]/Rådatakommune[[#This Row],[B15-O]]</f>
        <v>0.11380251915793183</v>
      </c>
      <c r="Q14" s="34">
        <f>Rådatakommune[[#This Row],[Eldre67+-O]]/Rådatakommune[[#This Row],[B15-O]]</f>
        <v>0.15881264863912622</v>
      </c>
      <c r="R14" s="34">
        <f>Rådatakommune[[#This Row],[S14-O]]/Rådatakommune[[#This Row],[S04-O]]-1</f>
        <v>4.0042826552462607E-2</v>
      </c>
      <c r="S14" s="34">
        <f>Rådatakommune[[#This Row],[Y14-O]]/Rådatakommune[[#This Row],[Folk20-64-O]]</f>
        <v>0.83284682746965744</v>
      </c>
    </row>
    <row r="15" spans="1:19" x14ac:dyDescent="0.25">
      <c r="A15" s="1" t="s">
        <v>13</v>
      </c>
      <c r="B15" s="37">
        <v>3355</v>
      </c>
      <c r="C15" s="36">
        <v>3731</v>
      </c>
      <c r="D15" s="33">
        <v>1859</v>
      </c>
      <c r="E15" s="38">
        <v>505</v>
      </c>
      <c r="F15" s="39">
        <v>438</v>
      </c>
      <c r="G15">
        <v>2144</v>
      </c>
      <c r="H15" s="33">
        <v>918</v>
      </c>
      <c r="I15" s="33">
        <v>974</v>
      </c>
      <c r="J15" s="5">
        <v>101.21000000000001</v>
      </c>
      <c r="K15" s="40">
        <v>365000</v>
      </c>
      <c r="L15" s="45">
        <v>52.05</v>
      </c>
      <c r="M15" s="41">
        <v>5</v>
      </c>
      <c r="N15" s="32">
        <f>Rådatakommune[[#This Row],[B15-O]]/Rådatakommune[[#This Row],[Totalareal2015-O]]</f>
        <v>36.86394625037051</v>
      </c>
      <c r="O15" s="34">
        <f>Rådatakommune[[#This Row],[B15-O]]/Rådatakommune[[#This Row],[B05-O]]-1</f>
        <v>0.11207153502235467</v>
      </c>
      <c r="P15" s="34">
        <f>Rådatakommune[[#This Row],[Kvinner20-39-O]]/Rådatakommune[[#This Row],[B15-O]]</f>
        <v>0.11739480032162959</v>
      </c>
      <c r="Q15" s="34">
        <f>Rådatakommune[[#This Row],[Eldre67+-O]]/Rådatakommune[[#This Row],[B15-O]]</f>
        <v>0.13535245242562316</v>
      </c>
      <c r="R15" s="34">
        <f>Rådatakommune[[#This Row],[S14-O]]/Rådatakommune[[#This Row],[S04-O]]-1</f>
        <v>6.1002178649237404E-2</v>
      </c>
      <c r="S15" s="34">
        <f>Rådatakommune[[#This Row],[Y14-O]]/Rådatakommune[[#This Row],[Folk20-64-O]]</f>
        <v>0.86707089552238803</v>
      </c>
    </row>
    <row r="16" spans="1:19" x14ac:dyDescent="0.25">
      <c r="A16" s="1" t="s">
        <v>14</v>
      </c>
      <c r="B16" s="37">
        <v>7284</v>
      </c>
      <c r="C16" s="36">
        <v>8020</v>
      </c>
      <c r="D16" s="33">
        <v>3939</v>
      </c>
      <c r="E16" s="38">
        <v>1258</v>
      </c>
      <c r="F16" s="39">
        <v>915</v>
      </c>
      <c r="G16">
        <v>4631</v>
      </c>
      <c r="H16" s="33">
        <v>3140</v>
      </c>
      <c r="I16" s="33">
        <v>3426</v>
      </c>
      <c r="J16" s="5">
        <v>434.71</v>
      </c>
      <c r="K16" s="40">
        <v>363200</v>
      </c>
      <c r="L16" s="45">
        <v>60.766666666699997</v>
      </c>
      <c r="M16" s="41">
        <v>2</v>
      </c>
      <c r="N16" s="32">
        <f>Rådatakommune[[#This Row],[B15-O]]/Rådatakommune[[#This Row],[Totalareal2015-O]]</f>
        <v>18.449080996526419</v>
      </c>
      <c r="O16" s="34">
        <f>Rådatakommune[[#This Row],[B15-O]]/Rådatakommune[[#This Row],[B05-O]]-1</f>
        <v>0.10104338275672697</v>
      </c>
      <c r="P16" s="34">
        <f>Rådatakommune[[#This Row],[Kvinner20-39-O]]/Rådatakommune[[#This Row],[B15-O]]</f>
        <v>0.11408977556109726</v>
      </c>
      <c r="Q16" s="34">
        <f>Rådatakommune[[#This Row],[Eldre67+-O]]/Rådatakommune[[#This Row],[B15-O]]</f>
        <v>0.15685785536159602</v>
      </c>
      <c r="R16" s="34">
        <f>Rådatakommune[[#This Row],[S14-O]]/Rådatakommune[[#This Row],[S04-O]]-1</f>
        <v>9.1082802547770791E-2</v>
      </c>
      <c r="S16" s="34">
        <f>Rådatakommune[[#This Row],[Y14-O]]/Rådatakommune[[#This Row],[Folk20-64-O]]</f>
        <v>0.85057223061973652</v>
      </c>
    </row>
    <row r="17" spans="1:19" x14ac:dyDescent="0.25">
      <c r="A17" s="1" t="s">
        <v>15</v>
      </c>
      <c r="B17" s="37">
        <v>6465</v>
      </c>
      <c r="C17" s="36">
        <v>7206</v>
      </c>
      <c r="D17" s="33">
        <v>3593</v>
      </c>
      <c r="E17" s="38">
        <v>1208</v>
      </c>
      <c r="F17" s="39">
        <v>764</v>
      </c>
      <c r="G17">
        <v>4120</v>
      </c>
      <c r="H17" s="33">
        <v>2173</v>
      </c>
      <c r="I17" s="33">
        <v>2747</v>
      </c>
      <c r="J17" s="5">
        <v>118.77</v>
      </c>
      <c r="K17" s="40">
        <v>386500</v>
      </c>
      <c r="L17" s="45">
        <v>48.9666666667</v>
      </c>
      <c r="M17" s="41">
        <v>2</v>
      </c>
      <c r="N17" s="32">
        <f>Rådatakommune[[#This Row],[B15-O]]/Rådatakommune[[#This Row],[Totalareal2015-O]]</f>
        <v>60.671886840111142</v>
      </c>
      <c r="O17" s="34">
        <f>Rådatakommune[[#This Row],[B15-O]]/Rådatakommune[[#This Row],[B05-O]]-1</f>
        <v>0.11461716937354982</v>
      </c>
      <c r="P17" s="34">
        <f>Rådatakommune[[#This Row],[Kvinner20-39-O]]/Rådatakommune[[#This Row],[B15-O]]</f>
        <v>0.10602275881210102</v>
      </c>
      <c r="Q17" s="34">
        <f>Rådatakommune[[#This Row],[Eldre67+-O]]/Rådatakommune[[#This Row],[B15-O]]</f>
        <v>0.16763807937829586</v>
      </c>
      <c r="R17" s="34">
        <f>Rådatakommune[[#This Row],[S14-O]]/Rådatakommune[[#This Row],[S04-O]]-1</f>
        <v>0.26415094339622636</v>
      </c>
      <c r="S17" s="34">
        <f>Rådatakommune[[#This Row],[Y14-O]]/Rådatakommune[[#This Row],[Folk20-64-O]]</f>
        <v>0.87208737864077668</v>
      </c>
    </row>
    <row r="18" spans="1:19" x14ac:dyDescent="0.25">
      <c r="A18" s="1" t="s">
        <v>16</v>
      </c>
      <c r="B18" s="37">
        <v>13712</v>
      </c>
      <c r="C18" s="36">
        <v>15242</v>
      </c>
      <c r="D18" s="33">
        <v>7491</v>
      </c>
      <c r="E18" s="38">
        <v>2376</v>
      </c>
      <c r="F18" s="39">
        <v>1594</v>
      </c>
      <c r="G18">
        <v>8756</v>
      </c>
      <c r="H18" s="33">
        <v>4834</v>
      </c>
      <c r="I18" s="33">
        <v>6176</v>
      </c>
      <c r="J18" s="5">
        <v>74.19</v>
      </c>
      <c r="K18" s="40">
        <v>390900</v>
      </c>
      <c r="L18" s="45">
        <v>44.2833333333</v>
      </c>
      <c r="M18" s="41">
        <v>4</v>
      </c>
      <c r="N18" s="32">
        <f>Rådatakommune[[#This Row],[B15-O]]/Rådatakommune[[#This Row],[Totalareal2015-O]]</f>
        <v>205.44547782720045</v>
      </c>
      <c r="O18" s="34">
        <f>Rådatakommune[[#This Row],[B15-O]]/Rådatakommune[[#This Row],[B05-O]]-1</f>
        <v>0.11158109684947481</v>
      </c>
      <c r="P18" s="34">
        <f>Rådatakommune[[#This Row],[Kvinner20-39-O]]/Rådatakommune[[#This Row],[B15-O]]</f>
        <v>0.10457945151554913</v>
      </c>
      <c r="Q18" s="34">
        <f>Rådatakommune[[#This Row],[Eldre67+-O]]/Rådatakommune[[#This Row],[B15-O]]</f>
        <v>0.15588505445479595</v>
      </c>
      <c r="R18" s="34">
        <f>Rådatakommune[[#This Row],[S14-O]]/Rådatakommune[[#This Row],[S04-O]]-1</f>
        <v>0.27761688043028543</v>
      </c>
      <c r="S18" s="34">
        <f>Rådatakommune[[#This Row],[Y14-O]]/Rådatakommune[[#This Row],[Folk20-64-O]]</f>
        <v>0.85552763819095479</v>
      </c>
    </row>
    <row r="19" spans="1:19" x14ac:dyDescent="0.25">
      <c r="A19" s="1" t="s">
        <v>17</v>
      </c>
      <c r="B19" s="37">
        <v>4020</v>
      </c>
      <c r="C19" s="36">
        <v>5100</v>
      </c>
      <c r="D19" s="33">
        <v>2702</v>
      </c>
      <c r="E19" s="38">
        <v>609</v>
      </c>
      <c r="F19" s="39">
        <v>619</v>
      </c>
      <c r="G19">
        <v>3030</v>
      </c>
      <c r="H19" s="33">
        <v>1028</v>
      </c>
      <c r="I19" s="33">
        <v>1308</v>
      </c>
      <c r="J19" s="5">
        <v>256.95999999999998</v>
      </c>
      <c r="K19" s="40">
        <v>388400</v>
      </c>
      <c r="L19" s="45">
        <v>43.183333333299998</v>
      </c>
      <c r="M19" s="41">
        <v>4</v>
      </c>
      <c r="N19" s="32">
        <f>Rådatakommune[[#This Row],[B15-O]]/Rådatakommune[[#This Row],[Totalareal2015-O]]</f>
        <v>19.847447073474473</v>
      </c>
      <c r="O19" s="34">
        <f>Rådatakommune[[#This Row],[B15-O]]/Rådatakommune[[#This Row],[B05-O]]-1</f>
        <v>0.26865671641791056</v>
      </c>
      <c r="P19" s="34">
        <f>Rådatakommune[[#This Row],[Kvinner20-39-O]]/Rådatakommune[[#This Row],[B15-O]]</f>
        <v>0.12137254901960784</v>
      </c>
      <c r="Q19" s="34">
        <f>Rådatakommune[[#This Row],[Eldre67+-O]]/Rådatakommune[[#This Row],[B15-O]]</f>
        <v>0.11941176470588236</v>
      </c>
      <c r="R19" s="34">
        <f>Rådatakommune[[#This Row],[S14-O]]/Rådatakommune[[#This Row],[S04-O]]-1</f>
        <v>0.27237354085603105</v>
      </c>
      <c r="S19" s="34">
        <f>Rådatakommune[[#This Row],[Y14-O]]/Rådatakommune[[#This Row],[Folk20-64-O]]</f>
        <v>0.89174917491749173</v>
      </c>
    </row>
    <row r="20" spans="1:19" x14ac:dyDescent="0.25">
      <c r="A20" s="1" t="s">
        <v>18</v>
      </c>
      <c r="B20" s="37">
        <v>4557</v>
      </c>
      <c r="C20" s="36">
        <v>5343</v>
      </c>
      <c r="D20" s="33">
        <v>2759</v>
      </c>
      <c r="E20" s="38">
        <v>652</v>
      </c>
      <c r="F20" s="39">
        <v>658</v>
      </c>
      <c r="G20">
        <v>3265</v>
      </c>
      <c r="H20" s="33">
        <v>987</v>
      </c>
      <c r="I20" s="33">
        <v>1191</v>
      </c>
      <c r="J20" s="5">
        <v>140.38999999999999</v>
      </c>
      <c r="K20" s="40">
        <v>376100</v>
      </c>
      <c r="L20" s="45">
        <v>33.183333333299998</v>
      </c>
      <c r="M20" s="41">
        <v>1</v>
      </c>
      <c r="N20" s="32">
        <f>Rådatakommune[[#This Row],[B15-O]]/Rådatakommune[[#This Row],[Totalareal2015-O]]</f>
        <v>38.058266258280511</v>
      </c>
      <c r="O20" s="34">
        <f>Rådatakommune[[#This Row],[B15-O]]/Rådatakommune[[#This Row],[B05-O]]-1</f>
        <v>0.17248189598420005</v>
      </c>
      <c r="P20" s="34">
        <f>Rådatakommune[[#This Row],[Kvinner20-39-O]]/Rådatakommune[[#This Row],[B15-O]]</f>
        <v>0.12315178738536403</v>
      </c>
      <c r="Q20" s="34">
        <f>Rådatakommune[[#This Row],[Eldre67+-O]]/Rådatakommune[[#This Row],[B15-O]]</f>
        <v>0.12202882275874977</v>
      </c>
      <c r="R20" s="34">
        <f>Rådatakommune[[#This Row],[S14-O]]/Rådatakommune[[#This Row],[S04-O]]-1</f>
        <v>0.20668693009118533</v>
      </c>
      <c r="S20" s="34">
        <f>Rådatakommune[[#This Row],[Y14-O]]/Rådatakommune[[#This Row],[Folk20-64-O]]</f>
        <v>0.84502297090352219</v>
      </c>
    </row>
    <row r="21" spans="1:19" x14ac:dyDescent="0.25">
      <c r="A21" s="2" t="s">
        <v>19</v>
      </c>
      <c r="B21" s="37">
        <v>12990</v>
      </c>
      <c r="C21" s="36">
        <v>16310</v>
      </c>
      <c r="D21" s="33">
        <v>8493</v>
      </c>
      <c r="E21" s="38">
        <v>2076</v>
      </c>
      <c r="F21" s="39">
        <v>1886</v>
      </c>
      <c r="G21">
        <v>9422</v>
      </c>
      <c r="H21" s="33">
        <v>4408</v>
      </c>
      <c r="I21" s="33">
        <v>6991</v>
      </c>
      <c r="J21" s="5">
        <v>133.97</v>
      </c>
      <c r="K21" s="40">
        <v>420800</v>
      </c>
      <c r="L21" s="45">
        <v>28.516666666700001</v>
      </c>
      <c r="M21" s="41">
        <v>1</v>
      </c>
      <c r="N21" s="32">
        <f>Rådatakommune[[#This Row],[B15-O]]/Rådatakommune[[#This Row],[Totalareal2015-O]]</f>
        <v>121.74367395685601</v>
      </c>
      <c r="O21" s="34">
        <f>Rådatakommune[[#This Row],[B15-O]]/Rådatakommune[[#This Row],[B05-O]]-1</f>
        <v>0.25558121632024644</v>
      </c>
      <c r="P21" s="34">
        <f>Rådatakommune[[#This Row],[Kvinner20-39-O]]/Rådatakommune[[#This Row],[B15-O]]</f>
        <v>0.11563458001226241</v>
      </c>
      <c r="Q21" s="34">
        <f>Rådatakommune[[#This Row],[Eldre67+-O]]/Rådatakommune[[#This Row],[B15-O]]</f>
        <v>0.12728387492335991</v>
      </c>
      <c r="R21" s="34">
        <f>Rådatakommune[[#This Row],[S14-O]]/Rådatakommune[[#This Row],[S04-O]]-1</f>
        <v>0.58598003629764062</v>
      </c>
      <c r="S21" s="34">
        <f>Rådatakommune[[#This Row],[Y14-O]]/Rådatakommune[[#This Row],[Folk20-64-O]]</f>
        <v>0.90140097643812356</v>
      </c>
    </row>
    <row r="22" spans="1:19" x14ac:dyDescent="0.25">
      <c r="A22" s="2" t="s">
        <v>20</v>
      </c>
      <c r="B22" s="37">
        <v>26800</v>
      </c>
      <c r="C22" s="36">
        <v>29775</v>
      </c>
      <c r="D22" s="33">
        <v>15171</v>
      </c>
      <c r="E22" s="38">
        <v>3957</v>
      </c>
      <c r="F22" s="39">
        <v>3410</v>
      </c>
      <c r="G22">
        <v>17040</v>
      </c>
      <c r="H22" s="33">
        <v>11552</v>
      </c>
      <c r="I22" s="33">
        <v>14294</v>
      </c>
      <c r="J22" s="5">
        <v>165.53</v>
      </c>
      <c r="K22" s="40">
        <v>434900</v>
      </c>
      <c r="L22" s="45">
        <v>21.816666666700002</v>
      </c>
      <c r="M22" s="41">
        <v>1</v>
      </c>
      <c r="N22" s="32">
        <f>Rådatakommune[[#This Row],[B15-O]]/Rådatakommune[[#This Row],[Totalareal2015-O]]</f>
        <v>179.87675949978856</v>
      </c>
      <c r="O22" s="34">
        <f>Rådatakommune[[#This Row],[B15-O]]/Rådatakommune[[#This Row],[B05-O]]-1</f>
        <v>0.11100746268656714</v>
      </c>
      <c r="P22" s="34">
        <f>Rådatakommune[[#This Row],[Kvinner20-39-O]]/Rådatakommune[[#This Row],[B15-O]]</f>
        <v>0.11452560873215785</v>
      </c>
      <c r="Q22" s="34">
        <f>Rådatakommune[[#This Row],[Eldre67+-O]]/Rådatakommune[[#This Row],[B15-O]]</f>
        <v>0.13289672544080605</v>
      </c>
      <c r="R22" s="34">
        <f>Rådatakommune[[#This Row],[S14-O]]/Rådatakommune[[#This Row],[S04-O]]-1</f>
        <v>0.23736149584487531</v>
      </c>
      <c r="S22" s="34">
        <f>Rådatakommune[[#This Row],[Y14-O]]/Rådatakommune[[#This Row],[Folk20-64-O]]</f>
        <v>0.89031690140845066</v>
      </c>
    </row>
    <row r="23" spans="1:19" x14ac:dyDescent="0.25">
      <c r="A23" s="2" t="s">
        <v>21</v>
      </c>
      <c r="B23" s="37">
        <v>14472</v>
      </c>
      <c r="C23" s="36">
        <v>18503</v>
      </c>
      <c r="D23" s="33">
        <v>9502</v>
      </c>
      <c r="E23" s="38">
        <v>2254</v>
      </c>
      <c r="F23" s="39">
        <v>2547</v>
      </c>
      <c r="G23">
        <v>11129</v>
      </c>
      <c r="H23" s="33">
        <v>6716</v>
      </c>
      <c r="I23" s="33">
        <v>8644</v>
      </c>
      <c r="J23" s="5">
        <v>103.1</v>
      </c>
      <c r="K23" s="40">
        <v>405800</v>
      </c>
      <c r="L23" s="45">
        <v>26.75</v>
      </c>
      <c r="M23" s="41">
        <v>1</v>
      </c>
      <c r="N23" s="32">
        <f>Rådatakommune[[#This Row],[B15-O]]/Rådatakommune[[#This Row],[Totalareal2015-O]]</f>
        <v>179.46653734238603</v>
      </c>
      <c r="O23" s="34">
        <f>Rådatakommune[[#This Row],[B15-O]]/Rådatakommune[[#This Row],[B05-O]]-1</f>
        <v>0.27853786622443333</v>
      </c>
      <c r="P23" s="34">
        <f>Rådatakommune[[#This Row],[Kvinner20-39-O]]/Rådatakommune[[#This Row],[B15-O]]</f>
        <v>0.13765335351024158</v>
      </c>
      <c r="Q23" s="34">
        <f>Rådatakommune[[#This Row],[Eldre67+-O]]/Rådatakommune[[#This Row],[B15-O]]</f>
        <v>0.12181808355401827</v>
      </c>
      <c r="R23" s="34">
        <f>Rådatakommune[[#This Row],[S14-O]]/Rådatakommune[[#This Row],[S04-O]]-1</f>
        <v>0.28707564026206067</v>
      </c>
      <c r="S23" s="34">
        <f>Rådatakommune[[#This Row],[Y14-O]]/Rådatakommune[[#This Row],[Folk20-64-O]]</f>
        <v>0.85380537334890827</v>
      </c>
    </row>
    <row r="24" spans="1:19" x14ac:dyDescent="0.25">
      <c r="A24" s="2" t="s">
        <v>22</v>
      </c>
      <c r="B24" s="37">
        <v>13358</v>
      </c>
      <c r="C24" s="36">
        <v>15656</v>
      </c>
      <c r="D24" s="33">
        <v>8111</v>
      </c>
      <c r="E24" s="38">
        <v>2443</v>
      </c>
      <c r="F24" s="39">
        <v>1561</v>
      </c>
      <c r="G24">
        <v>8982</v>
      </c>
      <c r="H24" s="33">
        <v>3663</v>
      </c>
      <c r="I24" s="33">
        <v>4551</v>
      </c>
      <c r="J24" s="5">
        <v>85.7</v>
      </c>
      <c r="K24" s="40">
        <v>463700</v>
      </c>
      <c r="L24" s="45">
        <v>30.2166666667</v>
      </c>
      <c r="M24" s="41">
        <v>1</v>
      </c>
      <c r="N24" s="32">
        <f>Rådatakommune[[#This Row],[B15-O]]/Rådatakommune[[#This Row],[Totalareal2015-O]]</f>
        <v>182.68378063010502</v>
      </c>
      <c r="O24" s="34">
        <f>Rådatakommune[[#This Row],[B15-O]]/Rådatakommune[[#This Row],[B05-O]]-1</f>
        <v>0.17203174127863452</v>
      </c>
      <c r="P24" s="34">
        <f>Rådatakommune[[#This Row],[Kvinner20-39-O]]/Rådatakommune[[#This Row],[B15-O]]</f>
        <v>9.9706182933060813E-2</v>
      </c>
      <c r="Q24" s="34">
        <f>Rådatakommune[[#This Row],[Eldre67+-O]]/Rådatakommune[[#This Row],[B15-O]]</f>
        <v>0.15604241185487991</v>
      </c>
      <c r="R24" s="34">
        <f>Rådatakommune[[#This Row],[S14-O]]/Rådatakommune[[#This Row],[S04-O]]-1</f>
        <v>0.24242424242424243</v>
      </c>
      <c r="S24" s="34">
        <f>Rådatakommune[[#This Row],[Y14-O]]/Rådatakommune[[#This Row],[Folk20-64-O]]</f>
        <v>0.90302827877978176</v>
      </c>
    </row>
    <row r="25" spans="1:19" x14ac:dyDescent="0.25">
      <c r="A25" s="2" t="s">
        <v>23</v>
      </c>
      <c r="B25" s="37">
        <v>16231</v>
      </c>
      <c r="C25" s="36">
        <v>18372</v>
      </c>
      <c r="D25" s="33">
        <v>9423</v>
      </c>
      <c r="E25" s="38">
        <v>2259</v>
      </c>
      <c r="F25" s="39">
        <v>1992</v>
      </c>
      <c r="G25">
        <v>10720</v>
      </c>
      <c r="H25" s="33">
        <v>4072</v>
      </c>
      <c r="I25" s="33">
        <v>4709</v>
      </c>
      <c r="J25" s="5">
        <v>61.46</v>
      </c>
      <c r="K25" s="40">
        <v>436700</v>
      </c>
      <c r="L25" s="45">
        <v>40.9</v>
      </c>
      <c r="M25" s="41">
        <v>1</v>
      </c>
      <c r="N25" s="32">
        <f>Rådatakommune[[#This Row],[B15-O]]/Rådatakommune[[#This Row],[Totalareal2015-O]]</f>
        <v>298.92613081679139</v>
      </c>
      <c r="O25" s="34">
        <f>Rådatakommune[[#This Row],[B15-O]]/Rådatakommune[[#This Row],[B05-O]]-1</f>
        <v>0.13190807713634412</v>
      </c>
      <c r="P25" s="34">
        <f>Rådatakommune[[#This Row],[Kvinner20-39-O]]/Rådatakommune[[#This Row],[B15-O]]</f>
        <v>0.10842586544741999</v>
      </c>
      <c r="Q25" s="34">
        <f>Rådatakommune[[#This Row],[Eldre67+-O]]/Rådatakommune[[#This Row],[B15-O]]</f>
        <v>0.12295885042455912</v>
      </c>
      <c r="R25" s="34">
        <f>Rådatakommune[[#This Row],[S14-O]]/Rådatakommune[[#This Row],[S04-O]]-1</f>
        <v>0.15643418467583503</v>
      </c>
      <c r="S25" s="34">
        <f>Rådatakommune[[#This Row],[Y14-O]]/Rådatakommune[[#This Row],[Folk20-64-O]]</f>
        <v>0.87901119402985073</v>
      </c>
    </row>
    <row r="26" spans="1:19" x14ac:dyDescent="0.25">
      <c r="A26" s="2" t="s">
        <v>24</v>
      </c>
      <c r="B26" s="37">
        <v>23586</v>
      </c>
      <c r="C26" s="36">
        <v>26580</v>
      </c>
      <c r="D26" s="33">
        <v>13520</v>
      </c>
      <c r="E26" s="38">
        <v>3872</v>
      </c>
      <c r="F26" s="39">
        <v>2900</v>
      </c>
      <c r="G26">
        <v>15078</v>
      </c>
      <c r="H26" s="33">
        <v>8892</v>
      </c>
      <c r="I26" s="33">
        <v>9890</v>
      </c>
      <c r="J26" s="5">
        <v>37.040000000000006</v>
      </c>
      <c r="K26" s="40">
        <v>486100</v>
      </c>
      <c r="L26" s="45">
        <v>13.666666666699999</v>
      </c>
      <c r="M26" s="41">
        <v>1</v>
      </c>
      <c r="N26" s="32">
        <f>Rådatakommune[[#This Row],[B15-O]]/Rådatakommune[[#This Row],[Totalareal2015-O]]</f>
        <v>717.60259179265643</v>
      </c>
      <c r="O26" s="34">
        <f>Rådatakommune[[#This Row],[B15-O]]/Rådatakommune[[#This Row],[B05-O]]-1</f>
        <v>0.12693970999745607</v>
      </c>
      <c r="P26" s="34">
        <f>Rådatakommune[[#This Row],[Kvinner20-39-O]]/Rådatakommune[[#This Row],[B15-O]]</f>
        <v>0.109104589917231</v>
      </c>
      <c r="Q26" s="34">
        <f>Rådatakommune[[#This Row],[Eldre67+-O]]/Rådatakommune[[#This Row],[B15-O]]</f>
        <v>0.14567343867569602</v>
      </c>
      <c r="R26" s="34">
        <f>Rådatakommune[[#This Row],[S14-O]]/Rådatakommune[[#This Row],[S04-O]]-1</f>
        <v>0.11223571749887529</v>
      </c>
      <c r="S26" s="34">
        <f>Rådatakommune[[#This Row],[Y14-O]]/Rådatakommune[[#This Row],[Folk20-64-O]]</f>
        <v>0.89667064597426716</v>
      </c>
    </row>
    <row r="27" spans="1:19" x14ac:dyDescent="0.25">
      <c r="A27" s="2" t="s">
        <v>25</v>
      </c>
      <c r="B27" s="37">
        <v>104690</v>
      </c>
      <c r="C27" s="36">
        <v>120685</v>
      </c>
      <c r="D27" s="33">
        <v>61833</v>
      </c>
      <c r="E27" s="38">
        <v>16624</v>
      </c>
      <c r="F27" s="39">
        <v>14221</v>
      </c>
      <c r="G27">
        <v>69582</v>
      </c>
      <c r="H27" s="33">
        <v>60361</v>
      </c>
      <c r="I27" s="33">
        <v>73076</v>
      </c>
      <c r="J27" s="5">
        <v>192.26000000000002</v>
      </c>
      <c r="K27" s="40">
        <v>548300</v>
      </c>
      <c r="L27" s="45">
        <v>11.8</v>
      </c>
      <c r="M27" s="41">
        <v>1</v>
      </c>
      <c r="N27" s="32">
        <f>Rådatakommune[[#This Row],[B15-O]]/Rådatakommune[[#This Row],[Totalareal2015-O]]</f>
        <v>627.71767398314773</v>
      </c>
      <c r="O27" s="34">
        <f>Rådatakommune[[#This Row],[B15-O]]/Rådatakommune[[#This Row],[B05-O]]-1</f>
        <v>0.15278441111854035</v>
      </c>
      <c r="P27" s="34">
        <f>Rådatakommune[[#This Row],[Kvinner20-39-O]]/Rådatakommune[[#This Row],[B15-O]]</f>
        <v>0.1178356879479637</v>
      </c>
      <c r="Q27" s="34">
        <f>Rådatakommune[[#This Row],[Eldre67+-O]]/Rådatakommune[[#This Row],[B15-O]]</f>
        <v>0.137747027385342</v>
      </c>
      <c r="R27" s="34">
        <f>Rådatakommune[[#This Row],[S14-O]]/Rådatakommune[[#This Row],[S04-O]]-1</f>
        <v>0.21064926028395825</v>
      </c>
      <c r="S27" s="34">
        <f>Rådatakommune[[#This Row],[Y14-O]]/Rådatakommune[[#This Row],[Folk20-64-O]]</f>
        <v>0.88863499180822625</v>
      </c>
    </row>
    <row r="28" spans="1:19" x14ac:dyDescent="0.25">
      <c r="A28" s="2" t="s">
        <v>26</v>
      </c>
      <c r="B28" s="37">
        <v>50858</v>
      </c>
      <c r="C28" s="36">
        <v>59571</v>
      </c>
      <c r="D28" s="33">
        <v>30296</v>
      </c>
      <c r="E28" s="38">
        <v>7878</v>
      </c>
      <c r="F28" s="39">
        <v>6864</v>
      </c>
      <c r="G28">
        <v>34230</v>
      </c>
      <c r="H28" s="33">
        <v>22793</v>
      </c>
      <c r="I28" s="33">
        <v>27123</v>
      </c>
      <c r="J28" s="5">
        <v>100.72</v>
      </c>
      <c r="K28" s="40">
        <v>529800</v>
      </c>
      <c r="L28" s="45">
        <v>17.2</v>
      </c>
      <c r="M28" s="41">
        <v>1</v>
      </c>
      <c r="N28" s="32">
        <f>Rådatakommune[[#This Row],[B15-O]]/Rådatakommune[[#This Row],[Totalareal2015-O]]</f>
        <v>591.4515488482923</v>
      </c>
      <c r="O28" s="34">
        <f>Rådatakommune[[#This Row],[B15-O]]/Rådatakommune[[#This Row],[B05-O]]-1</f>
        <v>0.17132014628966918</v>
      </c>
      <c r="P28" s="34">
        <f>Rådatakommune[[#This Row],[Kvinner20-39-O]]/Rådatakommune[[#This Row],[B15-O]]</f>
        <v>0.11522385053129879</v>
      </c>
      <c r="Q28" s="34">
        <f>Rådatakommune[[#This Row],[Eldre67+-O]]/Rådatakommune[[#This Row],[B15-O]]</f>
        <v>0.13224555572342248</v>
      </c>
      <c r="R28" s="34">
        <f>Rådatakommune[[#This Row],[S14-O]]/Rådatakommune[[#This Row],[S04-O]]-1</f>
        <v>0.18997060501031027</v>
      </c>
      <c r="S28" s="34">
        <f>Rådatakommune[[#This Row],[Y14-O]]/Rådatakommune[[#This Row],[Folk20-64-O]]</f>
        <v>0.88507157464212682</v>
      </c>
    </row>
    <row r="29" spans="1:19" x14ac:dyDescent="0.25">
      <c r="A29" s="2" t="s">
        <v>27</v>
      </c>
      <c r="B29" s="37">
        <v>13275</v>
      </c>
      <c r="C29" s="36">
        <v>15726</v>
      </c>
      <c r="D29" s="33">
        <v>8010</v>
      </c>
      <c r="E29" s="38">
        <v>2466</v>
      </c>
      <c r="F29" s="39">
        <v>1803</v>
      </c>
      <c r="G29">
        <v>9163</v>
      </c>
      <c r="H29" s="33">
        <v>4380</v>
      </c>
      <c r="I29" s="33">
        <v>4953</v>
      </c>
      <c r="J29" s="5">
        <v>961.66</v>
      </c>
      <c r="K29" s="40">
        <v>367800</v>
      </c>
      <c r="L29" s="45">
        <v>46.366666666699999</v>
      </c>
      <c r="M29" s="41">
        <v>1</v>
      </c>
      <c r="N29" s="32">
        <f>Rådatakommune[[#This Row],[B15-O]]/Rådatakommune[[#This Row],[Totalareal2015-O]]</f>
        <v>16.352972984214794</v>
      </c>
      <c r="O29" s="34">
        <f>Rådatakommune[[#This Row],[B15-O]]/Rådatakommune[[#This Row],[B05-O]]-1</f>
        <v>0.18463276836158182</v>
      </c>
      <c r="P29" s="34">
        <f>Rådatakommune[[#This Row],[Kvinner20-39-O]]/Rådatakommune[[#This Row],[B15-O]]</f>
        <v>0.11465089660434949</v>
      </c>
      <c r="Q29" s="34">
        <f>Rådatakommune[[#This Row],[Eldre67+-O]]/Rådatakommune[[#This Row],[B15-O]]</f>
        <v>0.15681037771842807</v>
      </c>
      <c r="R29" s="34">
        <f>Rådatakommune[[#This Row],[S14-O]]/Rådatakommune[[#This Row],[S04-O]]-1</f>
        <v>0.13082191780821928</v>
      </c>
      <c r="S29" s="34">
        <f>Rådatakommune[[#This Row],[Y14-O]]/Rådatakommune[[#This Row],[Folk20-64-O]]</f>
        <v>0.87416784895776489</v>
      </c>
    </row>
    <row r="30" spans="1:19" x14ac:dyDescent="0.25">
      <c r="A30" s="2" t="s">
        <v>28</v>
      </c>
      <c r="B30" s="37">
        <v>12925</v>
      </c>
      <c r="C30" s="36">
        <v>17089</v>
      </c>
      <c r="D30" s="33">
        <v>8928</v>
      </c>
      <c r="E30" s="38">
        <v>1909</v>
      </c>
      <c r="F30" s="39">
        <v>2135</v>
      </c>
      <c r="G30">
        <v>10124</v>
      </c>
      <c r="H30" s="33">
        <v>3507</v>
      </c>
      <c r="I30" s="33">
        <v>4971</v>
      </c>
      <c r="J30" s="5">
        <v>206.62</v>
      </c>
      <c r="K30" s="40">
        <v>427800</v>
      </c>
      <c r="L30" s="45">
        <v>32.233333333300003</v>
      </c>
      <c r="M30" s="41">
        <v>1</v>
      </c>
      <c r="N30" s="32">
        <f>Rådatakommune[[#This Row],[B15-O]]/Rådatakommune[[#This Row],[Totalareal2015-O]]</f>
        <v>82.707385538670025</v>
      </c>
      <c r="O30" s="34">
        <f>Rådatakommune[[#This Row],[B15-O]]/Rådatakommune[[#This Row],[B05-O]]-1</f>
        <v>0.32216634429400393</v>
      </c>
      <c r="P30" s="34">
        <f>Rådatakommune[[#This Row],[Kvinner20-39-O]]/Rådatakommune[[#This Row],[B15-O]]</f>
        <v>0.12493416817836035</v>
      </c>
      <c r="Q30" s="34">
        <f>Rådatakommune[[#This Row],[Eldre67+-O]]/Rådatakommune[[#This Row],[B15-O]]</f>
        <v>0.1117092866756393</v>
      </c>
      <c r="R30" s="34">
        <f>Rådatakommune[[#This Row],[S14-O]]/Rådatakommune[[#This Row],[S04-O]]-1</f>
        <v>0.41745081266039352</v>
      </c>
      <c r="S30" s="34">
        <f>Rådatakommune[[#This Row],[Y14-O]]/Rådatakommune[[#This Row],[Folk20-64-O]]</f>
        <v>0.88186487554326354</v>
      </c>
    </row>
    <row r="31" spans="1:19" x14ac:dyDescent="0.25">
      <c r="A31" s="2" t="s">
        <v>29</v>
      </c>
      <c r="B31" s="37">
        <v>9567</v>
      </c>
      <c r="C31" s="36">
        <v>11199</v>
      </c>
      <c r="D31" s="33">
        <v>5857</v>
      </c>
      <c r="E31" s="38">
        <v>1449</v>
      </c>
      <c r="F31" s="39">
        <v>1273</v>
      </c>
      <c r="G31">
        <v>6637</v>
      </c>
      <c r="H31" s="33">
        <v>2136</v>
      </c>
      <c r="I31" s="33">
        <v>2634</v>
      </c>
      <c r="J31" s="5">
        <v>176.36</v>
      </c>
      <c r="K31" s="40">
        <v>421600</v>
      </c>
      <c r="L31" s="45">
        <v>23.316666666700002</v>
      </c>
      <c r="M31" s="41">
        <v>1</v>
      </c>
      <c r="N31" s="32">
        <f>Rådatakommune[[#This Row],[B15-O]]/Rådatakommune[[#This Row],[Totalareal2015-O]]</f>
        <v>63.500793830800632</v>
      </c>
      <c r="O31" s="34">
        <f>Rådatakommune[[#This Row],[B15-O]]/Rådatakommune[[#This Row],[B05-O]]-1</f>
        <v>0.17058639071809334</v>
      </c>
      <c r="P31" s="34">
        <f>Rådatakommune[[#This Row],[Kvinner20-39-O]]/Rådatakommune[[#This Row],[B15-O]]</f>
        <v>0.11367086346995267</v>
      </c>
      <c r="Q31" s="34">
        <f>Rådatakommune[[#This Row],[Eldre67+-O]]/Rådatakommune[[#This Row],[B15-O]]</f>
        <v>0.12938655237074739</v>
      </c>
      <c r="R31" s="34">
        <f>Rådatakommune[[#This Row],[S14-O]]/Rådatakommune[[#This Row],[S04-O]]-1</f>
        <v>0.23314606741573041</v>
      </c>
      <c r="S31" s="34">
        <f>Rådatakommune[[#This Row],[Y14-O]]/Rådatakommune[[#This Row],[Folk20-64-O]]</f>
        <v>0.88247702275124307</v>
      </c>
    </row>
    <row r="32" spans="1:19" x14ac:dyDescent="0.25">
      <c r="A32" s="2" t="s">
        <v>30</v>
      </c>
      <c r="B32" s="37">
        <v>14797</v>
      </c>
      <c r="C32" s="36">
        <v>17185</v>
      </c>
      <c r="D32" s="33">
        <v>9257</v>
      </c>
      <c r="E32" s="38">
        <v>1930</v>
      </c>
      <c r="F32" s="39">
        <v>2315</v>
      </c>
      <c r="G32">
        <v>10465</v>
      </c>
      <c r="H32" s="33">
        <v>2340</v>
      </c>
      <c r="I32" s="33">
        <v>3027</v>
      </c>
      <c r="J32" s="5">
        <v>71.680000000000007</v>
      </c>
      <c r="K32" s="40">
        <v>426900</v>
      </c>
      <c r="L32" s="45">
        <v>18.383333333300001</v>
      </c>
      <c r="M32" s="41">
        <v>1</v>
      </c>
      <c r="N32" s="32">
        <f>Rådatakommune[[#This Row],[B15-O]]/Rådatakommune[[#This Row],[Totalareal2015-O]]</f>
        <v>239.74609374999997</v>
      </c>
      <c r="O32" s="34">
        <f>Rådatakommune[[#This Row],[B15-O]]/Rådatakommune[[#This Row],[B05-O]]-1</f>
        <v>0.16138406433736563</v>
      </c>
      <c r="P32" s="34">
        <f>Rådatakommune[[#This Row],[Kvinner20-39-O]]/Rådatakommune[[#This Row],[B15-O]]</f>
        <v>0.13471050334594123</v>
      </c>
      <c r="Q32" s="34">
        <f>Rådatakommune[[#This Row],[Eldre67+-O]]/Rådatakommune[[#This Row],[B15-O]]</f>
        <v>0.11230724469013675</v>
      </c>
      <c r="R32" s="34">
        <f>Rådatakommune[[#This Row],[S14-O]]/Rådatakommune[[#This Row],[S04-O]]-1</f>
        <v>0.29358974358974366</v>
      </c>
      <c r="S32" s="34">
        <f>Rådatakommune[[#This Row],[Y14-O]]/Rådatakommune[[#This Row],[Folk20-64-O]]</f>
        <v>0.8845676063067367</v>
      </c>
    </row>
    <row r="33" spans="1:19" x14ac:dyDescent="0.25">
      <c r="A33" s="2" t="s">
        <v>31</v>
      </c>
      <c r="B33" s="37">
        <v>9297</v>
      </c>
      <c r="C33" s="36">
        <v>10760</v>
      </c>
      <c r="D33" s="33">
        <v>5565</v>
      </c>
      <c r="E33" s="38">
        <v>1184</v>
      </c>
      <c r="F33" s="39">
        <v>1311</v>
      </c>
      <c r="G33">
        <v>6368</v>
      </c>
      <c r="H33" s="33">
        <v>2239</v>
      </c>
      <c r="I33" s="33">
        <v>2850</v>
      </c>
      <c r="J33" s="5">
        <v>232.57999999999998</v>
      </c>
      <c r="K33" s="40">
        <v>405800</v>
      </c>
      <c r="L33" s="45">
        <v>34.9</v>
      </c>
      <c r="M33" s="41">
        <v>1</v>
      </c>
      <c r="N33" s="32">
        <f>Rådatakommune[[#This Row],[B15-O]]/Rådatakommune[[#This Row],[Totalareal2015-O]]</f>
        <v>46.263651216785625</v>
      </c>
      <c r="O33" s="34">
        <f>Rådatakommune[[#This Row],[B15-O]]/Rådatakommune[[#This Row],[B05-O]]-1</f>
        <v>0.15736259008282238</v>
      </c>
      <c r="P33" s="34">
        <f>Rådatakommune[[#This Row],[Kvinner20-39-O]]/Rådatakommune[[#This Row],[B15-O]]</f>
        <v>0.12184014869888476</v>
      </c>
      <c r="Q33" s="34">
        <f>Rådatakommune[[#This Row],[Eldre67+-O]]/Rådatakommune[[#This Row],[B15-O]]</f>
        <v>0.1100371747211896</v>
      </c>
      <c r="R33" s="34">
        <f>Rådatakommune[[#This Row],[S14-O]]/Rådatakommune[[#This Row],[S04-O]]-1</f>
        <v>0.27288968289414917</v>
      </c>
      <c r="S33" s="34">
        <f>Rådatakommune[[#This Row],[Y14-O]]/Rådatakommune[[#This Row],[Folk20-64-O]]</f>
        <v>0.87390075376884424</v>
      </c>
    </row>
    <row r="34" spans="1:19" x14ac:dyDescent="0.25">
      <c r="A34" s="2" t="s">
        <v>32</v>
      </c>
      <c r="B34" s="37">
        <v>30675</v>
      </c>
      <c r="C34" s="36">
        <v>35139</v>
      </c>
      <c r="D34" s="33">
        <v>18063</v>
      </c>
      <c r="E34" s="38">
        <v>4535</v>
      </c>
      <c r="F34" s="39">
        <v>4162</v>
      </c>
      <c r="G34">
        <v>20833</v>
      </c>
      <c r="H34" s="33">
        <v>15147</v>
      </c>
      <c r="I34" s="33">
        <v>19796</v>
      </c>
      <c r="J34" s="5">
        <v>70.55</v>
      </c>
      <c r="K34" s="40">
        <v>438800</v>
      </c>
      <c r="L34" s="45">
        <v>11.7</v>
      </c>
      <c r="M34" s="41">
        <v>1</v>
      </c>
      <c r="N34" s="32">
        <f>Rådatakommune[[#This Row],[B15-O]]/Rådatakommune[[#This Row],[Totalareal2015-O]]</f>
        <v>498.07228915662654</v>
      </c>
      <c r="O34" s="34">
        <f>Rådatakommune[[#This Row],[B15-O]]/Rådatakommune[[#This Row],[B05-O]]-1</f>
        <v>0.14552567237163805</v>
      </c>
      <c r="P34" s="34">
        <f>Rådatakommune[[#This Row],[Kvinner20-39-O]]/Rådatakommune[[#This Row],[B15-O]]</f>
        <v>0.11844389424855574</v>
      </c>
      <c r="Q34" s="34">
        <f>Rådatakommune[[#This Row],[Eldre67+-O]]/Rådatakommune[[#This Row],[B15-O]]</f>
        <v>0.12905888044622785</v>
      </c>
      <c r="R34" s="34">
        <f>Rådatakommune[[#This Row],[S14-O]]/Rådatakommune[[#This Row],[S04-O]]-1</f>
        <v>0.30692546378820884</v>
      </c>
      <c r="S34" s="34">
        <f>Rådatakommune[[#This Row],[Y14-O]]/Rådatakommune[[#This Row],[Folk20-64-O]]</f>
        <v>0.86703787260596166</v>
      </c>
    </row>
    <row r="35" spans="1:19" x14ac:dyDescent="0.25">
      <c r="A35" s="2" t="s">
        <v>33</v>
      </c>
      <c r="B35" s="37">
        <v>42094</v>
      </c>
      <c r="C35" s="36">
        <v>51725</v>
      </c>
      <c r="D35" s="33">
        <v>26694</v>
      </c>
      <c r="E35" s="38">
        <v>6855</v>
      </c>
      <c r="F35" s="39">
        <v>6639</v>
      </c>
      <c r="G35">
        <v>30856</v>
      </c>
      <c r="H35" s="33">
        <v>22749</v>
      </c>
      <c r="I35" s="33">
        <v>28653</v>
      </c>
      <c r="J35" s="5">
        <v>77.040000000000006</v>
      </c>
      <c r="K35" s="40">
        <v>424700</v>
      </c>
      <c r="L35" s="45">
        <v>16.133333333300001</v>
      </c>
      <c r="M35" s="41">
        <v>1</v>
      </c>
      <c r="N35" s="32">
        <f>Rådatakommune[[#This Row],[B15-O]]/Rådatakommune[[#This Row],[Totalareal2015-O]]</f>
        <v>671.4044652128764</v>
      </c>
      <c r="O35" s="34">
        <f>Rådatakommune[[#This Row],[B15-O]]/Rådatakommune[[#This Row],[B05-O]]-1</f>
        <v>0.22879745331876267</v>
      </c>
      <c r="P35" s="34">
        <f>Rådatakommune[[#This Row],[Kvinner20-39-O]]/Rådatakommune[[#This Row],[B15-O]]</f>
        <v>0.12835186080231997</v>
      </c>
      <c r="Q35" s="34">
        <f>Rådatakommune[[#This Row],[Eldre67+-O]]/Rådatakommune[[#This Row],[B15-O]]</f>
        <v>0.13252779120347993</v>
      </c>
      <c r="R35" s="34">
        <f>Rådatakommune[[#This Row],[S14-O]]/Rådatakommune[[#This Row],[S04-O]]-1</f>
        <v>0.25952789133588294</v>
      </c>
      <c r="S35" s="34">
        <f>Rådatakommune[[#This Row],[Y14-O]]/Rådatakommune[[#This Row],[Folk20-64-O]]</f>
        <v>0.8651153746435053</v>
      </c>
    </row>
    <row r="36" spans="1:19" x14ac:dyDescent="0.25">
      <c r="A36" s="2" t="s">
        <v>34</v>
      </c>
      <c r="B36" s="37">
        <v>19578</v>
      </c>
      <c r="C36" s="36">
        <v>22706</v>
      </c>
      <c r="D36" s="33">
        <v>11946</v>
      </c>
      <c r="E36" s="38">
        <v>2686</v>
      </c>
      <c r="F36" s="39">
        <v>2552</v>
      </c>
      <c r="G36">
        <v>13288</v>
      </c>
      <c r="H36" s="33">
        <v>7006</v>
      </c>
      <c r="I36" s="33">
        <v>8268</v>
      </c>
      <c r="J36" s="5">
        <v>186.22</v>
      </c>
      <c r="K36" s="40">
        <v>450400</v>
      </c>
      <c r="L36" s="45">
        <v>24.833333333300001</v>
      </c>
      <c r="M36" s="41">
        <v>1</v>
      </c>
      <c r="N36" s="32">
        <f>Rådatakommune[[#This Row],[B15-O]]/Rådatakommune[[#This Row],[Totalareal2015-O]]</f>
        <v>121.93104929653099</v>
      </c>
      <c r="O36" s="34">
        <f>Rådatakommune[[#This Row],[B15-O]]/Rådatakommune[[#This Row],[B05-O]]-1</f>
        <v>0.15977117172336297</v>
      </c>
      <c r="P36" s="34">
        <f>Rådatakommune[[#This Row],[Kvinner20-39-O]]/Rådatakommune[[#This Row],[B15-O]]</f>
        <v>0.11239320003523298</v>
      </c>
      <c r="Q36" s="34">
        <f>Rådatakommune[[#This Row],[Eldre67+-O]]/Rådatakommune[[#This Row],[B15-O]]</f>
        <v>0.11829472386153439</v>
      </c>
      <c r="R36" s="34">
        <f>Rådatakommune[[#This Row],[S14-O]]/Rådatakommune[[#This Row],[S04-O]]-1</f>
        <v>0.18013131601484433</v>
      </c>
      <c r="S36" s="34">
        <f>Rådatakommune[[#This Row],[Y14-O]]/Rådatakommune[[#This Row],[Folk20-64-O]]</f>
        <v>0.89900662251655628</v>
      </c>
    </row>
    <row r="37" spans="1:19" x14ac:dyDescent="0.25">
      <c r="A37" s="2" t="s">
        <v>35</v>
      </c>
      <c r="B37" s="37">
        <v>5064</v>
      </c>
      <c r="C37" s="36">
        <v>6326</v>
      </c>
      <c r="D37" s="33">
        <v>3421</v>
      </c>
      <c r="E37" s="38">
        <v>757</v>
      </c>
      <c r="F37" s="39">
        <v>657</v>
      </c>
      <c r="G37">
        <v>3712</v>
      </c>
      <c r="H37" s="33">
        <v>1186</v>
      </c>
      <c r="I37" s="33">
        <v>1514</v>
      </c>
      <c r="J37" s="5">
        <v>83.19</v>
      </c>
      <c r="K37" s="40">
        <v>449000</v>
      </c>
      <c r="L37" s="45">
        <v>23.8</v>
      </c>
      <c r="M37" s="41">
        <v>1</v>
      </c>
      <c r="N37" s="32">
        <f>Rådatakommune[[#This Row],[B15-O]]/Rådatakommune[[#This Row],[Totalareal2015-O]]</f>
        <v>76.042793605000597</v>
      </c>
      <c r="O37" s="34">
        <f>Rådatakommune[[#This Row],[B15-O]]/Rådatakommune[[#This Row],[B05-O]]-1</f>
        <v>0.24921011058451814</v>
      </c>
      <c r="P37" s="34">
        <f>Rådatakommune[[#This Row],[Kvinner20-39-O]]/Rådatakommune[[#This Row],[B15-O]]</f>
        <v>0.1038570976920645</v>
      </c>
      <c r="Q37" s="34">
        <f>Rådatakommune[[#This Row],[Eldre67+-O]]/Rådatakommune[[#This Row],[B15-O]]</f>
        <v>0.11966487511855833</v>
      </c>
      <c r="R37" s="34">
        <f>Rådatakommune[[#This Row],[S14-O]]/Rådatakommune[[#This Row],[S04-O]]-1</f>
        <v>0.27655986509274877</v>
      </c>
      <c r="S37" s="34">
        <f>Rådatakommune[[#This Row],[Y14-O]]/Rådatakommune[[#This Row],[Folk20-64-O]]</f>
        <v>0.92160560344827591</v>
      </c>
    </row>
    <row r="38" spans="1:19" x14ac:dyDescent="0.25">
      <c r="A38" s="2" t="s">
        <v>36</v>
      </c>
      <c r="B38" s="37">
        <v>24556</v>
      </c>
      <c r="C38" s="36">
        <v>33310</v>
      </c>
      <c r="D38" s="33">
        <v>17286</v>
      </c>
      <c r="E38" s="38">
        <v>3735</v>
      </c>
      <c r="F38" s="39">
        <v>4400</v>
      </c>
      <c r="G38">
        <v>19891</v>
      </c>
      <c r="H38" s="33">
        <v>18983</v>
      </c>
      <c r="I38" s="33">
        <v>24199</v>
      </c>
      <c r="J38" s="5">
        <v>252.47</v>
      </c>
      <c r="K38" s="40">
        <v>414500</v>
      </c>
      <c r="L38" s="45">
        <v>27.9666666667</v>
      </c>
      <c r="M38" s="41">
        <v>1</v>
      </c>
      <c r="N38" s="32">
        <f>Rådatakommune[[#This Row],[B15-O]]/Rådatakommune[[#This Row],[Totalareal2015-O]]</f>
        <v>131.93646769913258</v>
      </c>
      <c r="O38" s="34">
        <f>Rådatakommune[[#This Row],[B15-O]]/Rådatakommune[[#This Row],[B05-O]]-1</f>
        <v>0.3564912852256068</v>
      </c>
      <c r="P38" s="34">
        <f>Rådatakommune[[#This Row],[Kvinner20-39-O]]/Rådatakommune[[#This Row],[B15-O]]</f>
        <v>0.13209246472530772</v>
      </c>
      <c r="Q38" s="34">
        <f>Rådatakommune[[#This Row],[Eldre67+-O]]/Rådatakommune[[#This Row],[B15-O]]</f>
        <v>0.11212848994296007</v>
      </c>
      <c r="R38" s="34">
        <f>Rådatakommune[[#This Row],[S14-O]]/Rådatakommune[[#This Row],[S04-O]]-1</f>
        <v>0.27477216456829789</v>
      </c>
      <c r="S38" s="34">
        <f>Rådatakommune[[#This Row],[Y14-O]]/Rådatakommune[[#This Row],[Folk20-64-O]]</f>
        <v>0.86903624754914288</v>
      </c>
    </row>
    <row r="39" spans="1:19" x14ac:dyDescent="0.25">
      <c r="A39" s="2" t="s">
        <v>37</v>
      </c>
      <c r="B39" s="37">
        <v>18025</v>
      </c>
      <c r="C39" s="36">
        <v>20410</v>
      </c>
      <c r="D39" s="33">
        <v>10635</v>
      </c>
      <c r="E39" s="38">
        <v>2688</v>
      </c>
      <c r="F39" s="39">
        <v>2428</v>
      </c>
      <c r="G39">
        <v>12287</v>
      </c>
      <c r="H39" s="33">
        <v>4821</v>
      </c>
      <c r="I39" s="33">
        <v>5709</v>
      </c>
      <c r="J39" s="5">
        <v>637.35</v>
      </c>
      <c r="K39" s="40">
        <v>382000</v>
      </c>
      <c r="L39" s="45">
        <v>38.733333333300003</v>
      </c>
      <c r="M39" s="41">
        <v>1</v>
      </c>
      <c r="N39" s="32">
        <f>Rådatakommune[[#This Row],[B15-O]]/Rådatakommune[[#This Row],[Totalareal2015-O]]</f>
        <v>32.023221150074527</v>
      </c>
      <c r="O39" s="34">
        <f>Rådatakommune[[#This Row],[B15-O]]/Rådatakommune[[#This Row],[B05-O]]-1</f>
        <v>0.13231622746185856</v>
      </c>
      <c r="P39" s="34">
        <f>Rådatakommune[[#This Row],[Kvinner20-39-O]]/Rådatakommune[[#This Row],[B15-O]]</f>
        <v>0.11896129348358647</v>
      </c>
      <c r="Q39" s="34">
        <f>Rådatakommune[[#This Row],[Eldre67+-O]]/Rådatakommune[[#This Row],[B15-O]]</f>
        <v>0.13170014698677118</v>
      </c>
      <c r="R39" s="34">
        <f>Rådatakommune[[#This Row],[S14-O]]/Rådatakommune[[#This Row],[S04-O]]-1</f>
        <v>0.18419415059116373</v>
      </c>
      <c r="S39" s="34">
        <f>Rådatakommune[[#This Row],[Y14-O]]/Rådatakommune[[#This Row],[Folk20-64-O]]</f>
        <v>0.86554895417921385</v>
      </c>
    </row>
    <row r="40" spans="1:19" x14ac:dyDescent="0.25">
      <c r="A40" s="2" t="s">
        <v>38</v>
      </c>
      <c r="B40" s="37">
        <v>18637</v>
      </c>
      <c r="C40" s="36">
        <v>23238</v>
      </c>
      <c r="D40" s="33">
        <v>11723</v>
      </c>
      <c r="E40" s="38">
        <v>3006</v>
      </c>
      <c r="F40" s="39">
        <v>2925</v>
      </c>
      <c r="G40">
        <v>13821</v>
      </c>
      <c r="H40" s="33">
        <v>6139</v>
      </c>
      <c r="I40" s="33">
        <v>6602</v>
      </c>
      <c r="J40" s="5">
        <v>456.5</v>
      </c>
      <c r="K40" s="40">
        <v>381100</v>
      </c>
      <c r="L40" s="45">
        <v>47.133333333300001</v>
      </c>
      <c r="M40" s="41">
        <v>1</v>
      </c>
      <c r="N40" s="32">
        <f>Rådatakommune[[#This Row],[B15-O]]/Rådatakommune[[#This Row],[Totalareal2015-O]]</f>
        <v>50.904709748083242</v>
      </c>
      <c r="O40" s="34">
        <f>Rådatakommune[[#This Row],[B15-O]]/Rådatakommune[[#This Row],[B05-O]]-1</f>
        <v>0.24687449696839625</v>
      </c>
      <c r="P40" s="34">
        <f>Rådatakommune[[#This Row],[Kvinner20-39-O]]/Rådatakommune[[#This Row],[B15-O]]</f>
        <v>0.12587141750580946</v>
      </c>
      <c r="Q40" s="34">
        <f>Rådatakommune[[#This Row],[Eldre67+-O]]/Rådatakommune[[#This Row],[B15-O]]</f>
        <v>0.12935708752904726</v>
      </c>
      <c r="R40" s="34">
        <f>Rådatakommune[[#This Row],[S14-O]]/Rådatakommune[[#This Row],[S04-O]]-1</f>
        <v>7.5419449421729956E-2</v>
      </c>
      <c r="S40" s="34">
        <f>Rådatakommune[[#This Row],[Y14-O]]/Rådatakommune[[#This Row],[Folk20-64-O]]</f>
        <v>0.84820201143187901</v>
      </c>
    </row>
    <row r="41" spans="1:19" x14ac:dyDescent="0.25">
      <c r="A41" s="2" t="s">
        <v>39</v>
      </c>
      <c r="B41" s="37">
        <v>10141</v>
      </c>
      <c r="C41" s="36">
        <v>11882</v>
      </c>
      <c r="D41" s="33">
        <v>6305</v>
      </c>
      <c r="E41" s="38">
        <v>1366</v>
      </c>
      <c r="F41" s="39">
        <v>1454</v>
      </c>
      <c r="G41">
        <v>7158</v>
      </c>
      <c r="H41" s="33">
        <v>2146</v>
      </c>
      <c r="I41" s="33">
        <v>2965</v>
      </c>
      <c r="J41" s="5">
        <v>340.99</v>
      </c>
      <c r="K41" s="40">
        <v>390000</v>
      </c>
      <c r="L41" s="45">
        <v>40.200000000000003</v>
      </c>
      <c r="M41" s="41">
        <v>1</v>
      </c>
      <c r="N41" s="32">
        <f>Rådatakommune[[#This Row],[B15-O]]/Rådatakommune[[#This Row],[Totalareal2015-O]]</f>
        <v>34.845596645062905</v>
      </c>
      <c r="O41" s="34">
        <f>Rådatakommune[[#This Row],[B15-O]]/Rådatakommune[[#This Row],[B05-O]]-1</f>
        <v>0.17167932156592047</v>
      </c>
      <c r="P41" s="34">
        <f>Rådatakommune[[#This Row],[Kvinner20-39-O]]/Rådatakommune[[#This Row],[B15-O]]</f>
        <v>0.12236997138528867</v>
      </c>
      <c r="Q41" s="34">
        <f>Rådatakommune[[#This Row],[Eldre67+-O]]/Rådatakommune[[#This Row],[B15-O]]</f>
        <v>0.11496381080626157</v>
      </c>
      <c r="R41" s="34">
        <f>Rådatakommune[[#This Row],[S14-O]]/Rådatakommune[[#This Row],[S04-O]]-1</f>
        <v>0.38164026095060577</v>
      </c>
      <c r="S41" s="34">
        <f>Rådatakommune[[#This Row],[Y14-O]]/Rådatakommune[[#This Row],[Folk20-64-O]]</f>
        <v>0.88083263481419394</v>
      </c>
    </row>
    <row r="42" spans="1:19" x14ac:dyDescent="0.25">
      <c r="A42" s="2" t="s">
        <v>40</v>
      </c>
      <c r="B42" s="37">
        <v>2602</v>
      </c>
      <c r="C42" s="36">
        <v>2752</v>
      </c>
      <c r="D42" s="33">
        <v>1351</v>
      </c>
      <c r="E42" s="38">
        <v>481</v>
      </c>
      <c r="F42" s="39">
        <v>274</v>
      </c>
      <c r="G42">
        <v>1560</v>
      </c>
      <c r="H42" s="33">
        <v>896</v>
      </c>
      <c r="I42" s="33">
        <v>808</v>
      </c>
      <c r="J42" s="5">
        <v>284.96000000000004</v>
      </c>
      <c r="K42" s="40">
        <v>353200</v>
      </c>
      <c r="L42" s="45">
        <v>53.133333333300001</v>
      </c>
      <c r="M42" s="41">
        <v>1</v>
      </c>
      <c r="N42" s="32">
        <f>Rådatakommune[[#This Row],[B15-O]]/Rådatakommune[[#This Row],[Totalareal2015-O]]</f>
        <v>9.6574957888826489</v>
      </c>
      <c r="O42" s="34">
        <f>Rådatakommune[[#This Row],[B15-O]]/Rådatakommune[[#This Row],[B05-O]]-1</f>
        <v>5.7647963105303512E-2</v>
      </c>
      <c r="P42" s="34">
        <f>Rådatakommune[[#This Row],[Kvinner20-39-O]]/Rådatakommune[[#This Row],[B15-O]]</f>
        <v>9.9563953488372089E-2</v>
      </c>
      <c r="Q42" s="34">
        <f>Rådatakommune[[#This Row],[Eldre67+-O]]/Rådatakommune[[#This Row],[B15-O]]</f>
        <v>0.17478197674418605</v>
      </c>
      <c r="R42" s="34">
        <f>Rådatakommune[[#This Row],[S14-O]]/Rådatakommune[[#This Row],[S04-O]]-1</f>
        <v>-9.8214285714285698E-2</v>
      </c>
      <c r="S42" s="34">
        <f>Rådatakommune[[#This Row],[Y14-O]]/Rådatakommune[[#This Row],[Folk20-64-O]]</f>
        <v>0.86602564102564106</v>
      </c>
    </row>
    <row r="43" spans="1:19" x14ac:dyDescent="0.25">
      <c r="A43" s="2" t="s">
        <v>41</v>
      </c>
      <c r="B43" s="37">
        <v>529846</v>
      </c>
      <c r="C43" s="36">
        <v>647676</v>
      </c>
      <c r="D43" s="33">
        <v>349982</v>
      </c>
      <c r="E43" s="38">
        <v>68124</v>
      </c>
      <c r="F43" s="39">
        <v>119164</v>
      </c>
      <c r="G43">
        <v>428635</v>
      </c>
      <c r="H43" s="33">
        <v>383290</v>
      </c>
      <c r="I43" s="33">
        <v>457000</v>
      </c>
      <c r="J43" s="5">
        <v>454.09</v>
      </c>
      <c r="K43" s="40">
        <v>452500</v>
      </c>
      <c r="L43" s="45">
        <v>1.3</v>
      </c>
      <c r="M43" s="41">
        <v>1</v>
      </c>
      <c r="N43" s="32">
        <f>Rådatakommune[[#This Row],[B15-O]]/Rådatakommune[[#This Row],[Totalareal2015-O]]</f>
        <v>1426.3163690017398</v>
      </c>
      <c r="O43" s="34">
        <f>Rådatakommune[[#This Row],[B15-O]]/Rådatakommune[[#This Row],[B05-O]]-1</f>
        <v>0.22238537235347633</v>
      </c>
      <c r="P43" s="34">
        <f>Rådatakommune[[#This Row],[Kvinner20-39-O]]/Rådatakommune[[#This Row],[B15-O]]</f>
        <v>0.18398705525602307</v>
      </c>
      <c r="Q43" s="34">
        <f>Rådatakommune[[#This Row],[Eldre67+-O]]/Rådatakommune[[#This Row],[B15-O]]</f>
        <v>0.10518222073999962</v>
      </c>
      <c r="R43" s="34">
        <f>Rådatakommune[[#This Row],[S14-O]]/Rådatakommune[[#This Row],[S04-O]]-1</f>
        <v>0.19230869576560838</v>
      </c>
      <c r="S43" s="34">
        <f>Rådatakommune[[#This Row],[Y14-O]]/Rådatakommune[[#This Row],[Folk20-64-O]]</f>
        <v>0.81650355197312396</v>
      </c>
    </row>
    <row r="44" spans="1:19" x14ac:dyDescent="0.25">
      <c r="A44" s="2" t="s">
        <v>42</v>
      </c>
      <c r="B44" s="37">
        <v>17279</v>
      </c>
      <c r="C44" s="36">
        <v>17881</v>
      </c>
      <c r="D44" s="33">
        <v>7920</v>
      </c>
      <c r="E44" s="38">
        <v>3254</v>
      </c>
      <c r="F44" s="39">
        <v>1815</v>
      </c>
      <c r="G44">
        <v>10199</v>
      </c>
      <c r="H44" s="33">
        <v>8463</v>
      </c>
      <c r="I44" s="33">
        <v>8370</v>
      </c>
      <c r="J44" s="5">
        <v>1036.45</v>
      </c>
      <c r="K44" s="40">
        <v>348000</v>
      </c>
      <c r="L44" s="45">
        <v>69.666666666699996</v>
      </c>
      <c r="M44" s="41">
        <v>5</v>
      </c>
      <c r="N44" s="32">
        <f>Rådatakommune[[#This Row],[B15-O]]/Rådatakommune[[#This Row],[Totalareal2015-O]]</f>
        <v>17.252158811327124</v>
      </c>
      <c r="O44" s="34">
        <f>Rådatakommune[[#This Row],[B15-O]]/Rådatakommune[[#This Row],[B05-O]]-1</f>
        <v>3.4839979165460999E-2</v>
      </c>
      <c r="P44" s="34">
        <f>Rådatakommune[[#This Row],[Kvinner20-39-O]]/Rådatakommune[[#This Row],[B15-O]]</f>
        <v>0.10150439013477994</v>
      </c>
      <c r="Q44" s="34">
        <f>Rådatakommune[[#This Row],[Eldre67+-O]]/Rådatakommune[[#This Row],[B15-O]]</f>
        <v>0.18198087355293327</v>
      </c>
      <c r="R44" s="34">
        <f>Rådatakommune[[#This Row],[S14-O]]/Rådatakommune[[#This Row],[S04-O]]-1</f>
        <v>-1.098901098901095E-2</v>
      </c>
      <c r="S44" s="34">
        <f>Rådatakommune[[#This Row],[Y14-O]]/Rådatakommune[[#This Row],[Folk20-64-O]]</f>
        <v>0.7765467202666928</v>
      </c>
    </row>
    <row r="45" spans="1:19" x14ac:dyDescent="0.25">
      <c r="A45" s="2" t="s">
        <v>43</v>
      </c>
      <c r="B45" s="37">
        <v>27439</v>
      </c>
      <c r="C45" s="36">
        <v>29847</v>
      </c>
      <c r="D45" s="33">
        <v>14641</v>
      </c>
      <c r="E45" s="38">
        <v>5371</v>
      </c>
      <c r="F45" s="39">
        <v>3484</v>
      </c>
      <c r="G45">
        <v>17133</v>
      </c>
      <c r="H45" s="33">
        <v>17159</v>
      </c>
      <c r="I45" s="33">
        <v>19776</v>
      </c>
      <c r="J45" s="5">
        <v>350.94</v>
      </c>
      <c r="K45" s="40">
        <v>386800</v>
      </c>
      <c r="L45" s="45">
        <v>83.916666666699996</v>
      </c>
      <c r="M45" s="41">
        <v>4</v>
      </c>
      <c r="N45" s="32">
        <f>Rådatakommune[[#This Row],[B15-O]]/Rådatakommune[[#This Row],[Totalareal2015-O]]</f>
        <v>85.048726277996238</v>
      </c>
      <c r="O45" s="34">
        <f>Rådatakommune[[#This Row],[B15-O]]/Rådatakommune[[#This Row],[B05-O]]-1</f>
        <v>8.7758300229600295E-2</v>
      </c>
      <c r="P45" s="34">
        <f>Rådatakommune[[#This Row],[Kvinner20-39-O]]/Rådatakommune[[#This Row],[B15-O]]</f>
        <v>0.11672864944550541</v>
      </c>
      <c r="Q45" s="34">
        <f>Rådatakommune[[#This Row],[Eldre67+-O]]/Rådatakommune[[#This Row],[B15-O]]</f>
        <v>0.17995108386102457</v>
      </c>
      <c r="R45" s="34">
        <f>Rådatakommune[[#This Row],[S14-O]]/Rådatakommune[[#This Row],[S04-O]]-1</f>
        <v>0.15251471530974992</v>
      </c>
      <c r="S45" s="34">
        <f>Rådatakommune[[#This Row],[Y14-O]]/Rådatakommune[[#This Row],[Folk20-64-O]]</f>
        <v>0.85454969941049441</v>
      </c>
    </row>
    <row r="46" spans="1:19" x14ac:dyDescent="0.25">
      <c r="A46" s="2" t="s">
        <v>44</v>
      </c>
      <c r="B46" s="37">
        <v>31824</v>
      </c>
      <c r="C46" s="36">
        <v>33603</v>
      </c>
      <c r="D46" s="33">
        <v>16860</v>
      </c>
      <c r="E46" s="38">
        <v>5439</v>
      </c>
      <c r="F46" s="39">
        <v>3756</v>
      </c>
      <c r="G46">
        <v>19322</v>
      </c>
      <c r="H46" s="33">
        <v>13137</v>
      </c>
      <c r="I46" s="33">
        <v>14651</v>
      </c>
      <c r="J46" s="5">
        <v>1280.08</v>
      </c>
      <c r="K46" s="40">
        <v>354800</v>
      </c>
      <c r="L46" s="45">
        <v>91.916666666699996</v>
      </c>
      <c r="M46" s="41">
        <v>4</v>
      </c>
      <c r="N46" s="32">
        <f>Rådatakommune[[#This Row],[B15-O]]/Rådatakommune[[#This Row],[Totalareal2015-O]]</f>
        <v>26.250703081057434</v>
      </c>
      <c r="O46" s="34">
        <f>Rådatakommune[[#This Row],[B15-O]]/Rådatakommune[[#This Row],[B05-O]]-1</f>
        <v>5.5901206636500778E-2</v>
      </c>
      <c r="P46" s="34">
        <f>Rådatakommune[[#This Row],[Kvinner20-39-O]]/Rådatakommune[[#This Row],[B15-O]]</f>
        <v>0.11177573430943666</v>
      </c>
      <c r="Q46" s="34">
        <f>Rådatakommune[[#This Row],[Eldre67+-O]]/Rådatakommune[[#This Row],[B15-O]]</f>
        <v>0.16186054816534237</v>
      </c>
      <c r="R46" s="34">
        <f>Rådatakommune[[#This Row],[S14-O]]/Rådatakommune[[#This Row],[S04-O]]-1</f>
        <v>0.11524701225546163</v>
      </c>
      <c r="S46" s="34">
        <f>Rådatakommune[[#This Row],[Y14-O]]/Rådatakommune[[#This Row],[Folk20-64-O]]</f>
        <v>0.87258047821136531</v>
      </c>
    </row>
    <row r="47" spans="1:19" x14ac:dyDescent="0.25">
      <c r="A47" s="2" t="s">
        <v>45</v>
      </c>
      <c r="B47" s="37">
        <v>7271</v>
      </c>
      <c r="C47" s="36">
        <v>7552</v>
      </c>
      <c r="D47" s="33">
        <v>3714</v>
      </c>
      <c r="E47" s="38">
        <v>1253</v>
      </c>
      <c r="F47" s="39">
        <v>871</v>
      </c>
      <c r="G47">
        <v>4406</v>
      </c>
      <c r="H47" s="33">
        <v>1751</v>
      </c>
      <c r="I47" s="33">
        <v>1873</v>
      </c>
      <c r="J47" s="5">
        <v>369.44</v>
      </c>
      <c r="K47" s="40">
        <v>347600</v>
      </c>
      <c r="L47" s="45">
        <v>86.266666666700004</v>
      </c>
      <c r="M47" s="41">
        <v>4</v>
      </c>
      <c r="N47" s="32">
        <f>Rådatakommune[[#This Row],[B15-O]]/Rådatakommune[[#This Row],[Totalareal2015-O]]</f>
        <v>20.441749675184063</v>
      </c>
      <c r="O47" s="34">
        <f>Rådatakommune[[#This Row],[B15-O]]/Rådatakommune[[#This Row],[B05-O]]-1</f>
        <v>3.8646678586164107E-2</v>
      </c>
      <c r="P47" s="34">
        <f>Rådatakommune[[#This Row],[Kvinner20-39-O]]/Rådatakommune[[#This Row],[B15-O]]</f>
        <v>0.11533368644067797</v>
      </c>
      <c r="Q47" s="34">
        <f>Rådatakommune[[#This Row],[Eldre67+-O]]/Rådatakommune[[#This Row],[B15-O]]</f>
        <v>0.16591631355932204</v>
      </c>
      <c r="R47" s="34">
        <f>Rådatakommune[[#This Row],[S14-O]]/Rådatakommune[[#This Row],[S04-O]]-1</f>
        <v>6.9674471730439835E-2</v>
      </c>
      <c r="S47" s="34">
        <f>Rådatakommune[[#This Row],[Y14-O]]/Rådatakommune[[#This Row],[Folk20-64-O]]</f>
        <v>0.8429414434861553</v>
      </c>
    </row>
    <row r="48" spans="1:19" x14ac:dyDescent="0.25">
      <c r="A48" s="2" t="s">
        <v>46</v>
      </c>
      <c r="B48" s="37">
        <v>18427</v>
      </c>
      <c r="C48" s="36">
        <v>20013</v>
      </c>
      <c r="D48" s="33">
        <v>9779</v>
      </c>
      <c r="E48" s="38">
        <v>3266</v>
      </c>
      <c r="F48" s="39">
        <v>2274</v>
      </c>
      <c r="G48">
        <v>11461</v>
      </c>
      <c r="H48" s="33">
        <v>6443</v>
      </c>
      <c r="I48" s="33">
        <v>6957</v>
      </c>
      <c r="J48" s="5">
        <v>724.28</v>
      </c>
      <c r="K48" s="40">
        <v>357500</v>
      </c>
      <c r="L48" s="45">
        <v>74.016666666700004</v>
      </c>
      <c r="M48" s="41">
        <v>4</v>
      </c>
      <c r="N48" s="32">
        <f>Rådatakommune[[#This Row],[B15-O]]/Rådatakommune[[#This Row],[Totalareal2015-O]]</f>
        <v>27.631578947368421</v>
      </c>
      <c r="O48" s="34">
        <f>Rådatakommune[[#This Row],[B15-O]]/Rådatakommune[[#This Row],[B05-O]]-1</f>
        <v>8.6069354751180382E-2</v>
      </c>
      <c r="P48" s="34">
        <f>Rådatakommune[[#This Row],[Kvinner20-39-O]]/Rådatakommune[[#This Row],[B15-O]]</f>
        <v>0.11362614300704542</v>
      </c>
      <c r="Q48" s="34">
        <f>Rådatakommune[[#This Row],[Eldre67+-O]]/Rådatakommune[[#This Row],[B15-O]]</f>
        <v>0.16319392394943286</v>
      </c>
      <c r="R48" s="34">
        <f>Rådatakommune[[#This Row],[S14-O]]/Rådatakommune[[#This Row],[S04-O]]-1</f>
        <v>7.9776501629675645E-2</v>
      </c>
      <c r="S48" s="34">
        <f>Rådatakommune[[#This Row],[Y14-O]]/Rådatakommune[[#This Row],[Folk20-64-O]]</f>
        <v>0.85324142744961173</v>
      </c>
    </row>
    <row r="49" spans="1:19" x14ac:dyDescent="0.25">
      <c r="A49" s="2" t="s">
        <v>47</v>
      </c>
      <c r="B49" s="37">
        <v>5073</v>
      </c>
      <c r="C49" s="36">
        <v>5128</v>
      </c>
      <c r="D49" s="33">
        <v>2330</v>
      </c>
      <c r="E49" s="38">
        <v>1012</v>
      </c>
      <c r="F49" s="39">
        <v>477</v>
      </c>
      <c r="G49">
        <v>2852</v>
      </c>
      <c r="H49" s="33">
        <v>1500</v>
      </c>
      <c r="I49" s="33">
        <v>1596</v>
      </c>
      <c r="J49" s="5">
        <v>508.14000000000004</v>
      </c>
      <c r="K49" s="40">
        <v>337500</v>
      </c>
      <c r="L49" s="45">
        <v>66.599999999999994</v>
      </c>
      <c r="M49" s="41">
        <v>5</v>
      </c>
      <c r="N49" s="32">
        <f>Rådatakommune[[#This Row],[B15-O]]/Rådatakommune[[#This Row],[Totalareal2015-O]]</f>
        <v>10.091707009879165</v>
      </c>
      <c r="O49" s="34">
        <f>Rådatakommune[[#This Row],[B15-O]]/Rådatakommune[[#This Row],[B05-O]]-1</f>
        <v>1.0841711019120792E-2</v>
      </c>
      <c r="P49" s="34">
        <f>Rådatakommune[[#This Row],[Kvinner20-39-O]]/Rådatakommune[[#This Row],[B15-O]]</f>
        <v>9.3018720748829956E-2</v>
      </c>
      <c r="Q49" s="34">
        <f>Rådatakommune[[#This Row],[Eldre67+-O]]/Rådatakommune[[#This Row],[B15-O]]</f>
        <v>0.19734789391575663</v>
      </c>
      <c r="R49" s="34">
        <f>Rådatakommune[[#This Row],[S14-O]]/Rådatakommune[[#This Row],[S04-O]]-1</f>
        <v>6.4000000000000057E-2</v>
      </c>
      <c r="S49" s="34">
        <f>Rådatakommune[[#This Row],[Y14-O]]/Rådatakommune[[#This Row],[Folk20-64-O]]</f>
        <v>0.81697054698457228</v>
      </c>
    </row>
    <row r="50" spans="1:19" x14ac:dyDescent="0.25">
      <c r="A50" s="2" t="s">
        <v>48</v>
      </c>
      <c r="B50" s="37">
        <v>7623</v>
      </c>
      <c r="C50" s="36">
        <v>7800</v>
      </c>
      <c r="D50" s="33">
        <v>3895</v>
      </c>
      <c r="E50" s="38">
        <v>1301</v>
      </c>
      <c r="F50" s="39">
        <v>824</v>
      </c>
      <c r="G50">
        <v>4588</v>
      </c>
      <c r="H50" s="33">
        <v>2562</v>
      </c>
      <c r="I50" s="33">
        <v>2574</v>
      </c>
      <c r="J50" s="5">
        <v>516.74</v>
      </c>
      <c r="K50" s="40">
        <v>355600</v>
      </c>
      <c r="L50" s="45">
        <v>54.95</v>
      </c>
      <c r="M50" s="41">
        <v>5</v>
      </c>
      <c r="N50" s="32">
        <f>Rådatakommune[[#This Row],[B15-O]]/Rådatakommune[[#This Row],[Totalareal2015-O]]</f>
        <v>15.094631729689979</v>
      </c>
      <c r="O50" s="34">
        <f>Rådatakommune[[#This Row],[B15-O]]/Rådatakommune[[#This Row],[B05-O]]-1</f>
        <v>2.3219205037386947E-2</v>
      </c>
      <c r="P50" s="34">
        <f>Rådatakommune[[#This Row],[Kvinner20-39-O]]/Rådatakommune[[#This Row],[B15-O]]</f>
        <v>0.10564102564102563</v>
      </c>
      <c r="Q50" s="34">
        <f>Rådatakommune[[#This Row],[Eldre67+-O]]/Rådatakommune[[#This Row],[B15-O]]</f>
        <v>0.16679487179487179</v>
      </c>
      <c r="R50" s="34">
        <f>Rådatakommune[[#This Row],[S14-O]]/Rådatakommune[[#This Row],[S04-O]]-1</f>
        <v>4.6838407494145251E-3</v>
      </c>
      <c r="S50" s="34">
        <f>Rådatakommune[[#This Row],[Y14-O]]/Rådatakommune[[#This Row],[Folk20-64-O]]</f>
        <v>0.84895379250217962</v>
      </c>
    </row>
    <row r="51" spans="1:19" x14ac:dyDescent="0.25">
      <c r="A51" s="2" t="s">
        <v>49</v>
      </c>
      <c r="B51" s="37">
        <v>6499</v>
      </c>
      <c r="C51" s="36">
        <v>6219</v>
      </c>
      <c r="D51" s="33">
        <v>2791</v>
      </c>
      <c r="E51" s="38">
        <v>1212</v>
      </c>
      <c r="F51" s="39">
        <v>581</v>
      </c>
      <c r="G51">
        <v>3502</v>
      </c>
      <c r="H51" s="33">
        <v>1964</v>
      </c>
      <c r="I51" s="33">
        <v>1909</v>
      </c>
      <c r="J51" s="5">
        <v>640.39</v>
      </c>
      <c r="K51" s="40">
        <v>318600</v>
      </c>
      <c r="L51" s="45">
        <v>78.233333333299996</v>
      </c>
      <c r="M51" s="41">
        <v>5</v>
      </c>
      <c r="N51" s="32">
        <f>Rådatakommune[[#This Row],[B15-O]]/Rådatakommune[[#This Row],[Totalareal2015-O]]</f>
        <v>9.7112696950295909</v>
      </c>
      <c r="O51" s="34">
        <f>Rådatakommune[[#This Row],[B15-O]]/Rådatakommune[[#This Row],[B05-O]]-1</f>
        <v>-4.3083551315587054E-2</v>
      </c>
      <c r="P51" s="34">
        <f>Rådatakommune[[#This Row],[Kvinner20-39-O]]/Rådatakommune[[#This Row],[B15-O]]</f>
        <v>9.3423379964624534E-2</v>
      </c>
      <c r="Q51" s="34">
        <f>Rådatakommune[[#This Row],[Eldre67+-O]]/Rådatakommune[[#This Row],[B15-O]]</f>
        <v>0.1948866377231066</v>
      </c>
      <c r="R51" s="34">
        <f>Rådatakommune[[#This Row],[S14-O]]/Rådatakommune[[#This Row],[S04-O]]-1</f>
        <v>-2.8004073319755629E-2</v>
      </c>
      <c r="S51" s="34">
        <f>Rådatakommune[[#This Row],[Y14-O]]/Rådatakommune[[#This Row],[Folk20-64-O]]</f>
        <v>0.796973158195317</v>
      </c>
    </row>
    <row r="52" spans="1:19" x14ac:dyDescent="0.25">
      <c r="A52" s="2" t="s">
        <v>50</v>
      </c>
      <c r="B52" s="37">
        <v>5275</v>
      </c>
      <c r="C52" s="36">
        <v>4853</v>
      </c>
      <c r="D52" s="33">
        <v>2205</v>
      </c>
      <c r="E52" s="38">
        <v>1100</v>
      </c>
      <c r="F52" s="39">
        <v>388</v>
      </c>
      <c r="G52">
        <v>2631</v>
      </c>
      <c r="H52" s="33">
        <v>2020</v>
      </c>
      <c r="I52" s="33">
        <v>1885</v>
      </c>
      <c r="J52" s="5">
        <v>837.18</v>
      </c>
      <c r="K52" s="40">
        <v>332400</v>
      </c>
      <c r="L52" s="45">
        <v>96.616666666699999</v>
      </c>
      <c r="M52" s="41">
        <v>6</v>
      </c>
      <c r="N52" s="32">
        <f>Rådatakommune[[#This Row],[B15-O]]/Rådatakommune[[#This Row],[Totalareal2015-O]]</f>
        <v>5.7968417783511317</v>
      </c>
      <c r="O52" s="34">
        <f>Rådatakommune[[#This Row],[B15-O]]/Rådatakommune[[#This Row],[B05-O]]-1</f>
        <v>-7.999999999999996E-2</v>
      </c>
      <c r="P52" s="34">
        <f>Rådatakommune[[#This Row],[Kvinner20-39-O]]/Rådatakommune[[#This Row],[B15-O]]</f>
        <v>7.9950546053987229E-2</v>
      </c>
      <c r="Q52" s="34">
        <f>Rådatakommune[[#This Row],[Eldre67+-O]]/Rådatakommune[[#This Row],[B15-O]]</f>
        <v>0.2266639192252215</v>
      </c>
      <c r="R52" s="34">
        <f>Rådatakommune[[#This Row],[S14-O]]/Rådatakommune[[#This Row],[S04-O]]-1</f>
        <v>-6.683168316831678E-2</v>
      </c>
      <c r="S52" s="34">
        <f>Rådatakommune[[#This Row],[Y14-O]]/Rådatakommune[[#This Row],[Folk20-64-O]]</f>
        <v>0.83808437856328388</v>
      </c>
    </row>
    <row r="53" spans="1:19" x14ac:dyDescent="0.25">
      <c r="A53" s="2" t="s">
        <v>51</v>
      </c>
      <c r="B53" s="37">
        <v>7779</v>
      </c>
      <c r="C53" s="36">
        <v>7561</v>
      </c>
      <c r="D53" s="33">
        <v>3351</v>
      </c>
      <c r="E53" s="38">
        <v>1669</v>
      </c>
      <c r="F53" s="39">
        <v>699</v>
      </c>
      <c r="G53">
        <v>4214</v>
      </c>
      <c r="H53" s="33">
        <v>2928</v>
      </c>
      <c r="I53" s="33">
        <v>2991</v>
      </c>
      <c r="J53" s="5">
        <v>1040.94</v>
      </c>
      <c r="K53" s="40">
        <v>327600</v>
      </c>
      <c r="L53" s="45">
        <v>111.333333333</v>
      </c>
      <c r="M53" s="41">
        <v>5</v>
      </c>
      <c r="N53" s="32">
        <f>Rådatakommune[[#This Row],[B15-O]]/Rådatakommune[[#This Row],[Totalareal2015-O]]</f>
        <v>7.2636271062693334</v>
      </c>
      <c r="O53" s="34">
        <f>Rådatakommune[[#This Row],[B15-O]]/Rådatakommune[[#This Row],[B05-O]]-1</f>
        <v>-2.8024167630800845E-2</v>
      </c>
      <c r="P53" s="34">
        <f>Rådatakommune[[#This Row],[Kvinner20-39-O]]/Rådatakommune[[#This Row],[B15-O]]</f>
        <v>9.2448088877132656E-2</v>
      </c>
      <c r="Q53" s="34">
        <f>Rådatakommune[[#This Row],[Eldre67+-O]]/Rådatakommune[[#This Row],[B15-O]]</f>
        <v>0.22073799761936252</v>
      </c>
      <c r="R53" s="34">
        <f>Rådatakommune[[#This Row],[S14-O]]/Rådatakommune[[#This Row],[S04-O]]-1</f>
        <v>2.1516393442623016E-2</v>
      </c>
      <c r="S53" s="34">
        <f>Rådatakommune[[#This Row],[Y14-O]]/Rådatakommune[[#This Row],[Folk20-64-O]]</f>
        <v>0.79520645467489326</v>
      </c>
    </row>
    <row r="54" spans="1:19" x14ac:dyDescent="0.25">
      <c r="A54" s="2" t="s">
        <v>52</v>
      </c>
      <c r="B54" s="37">
        <v>3924</v>
      </c>
      <c r="C54" s="36">
        <v>3790</v>
      </c>
      <c r="D54" s="33">
        <v>1751</v>
      </c>
      <c r="E54" s="38">
        <v>812</v>
      </c>
      <c r="F54" s="39">
        <v>347</v>
      </c>
      <c r="G54">
        <v>2133</v>
      </c>
      <c r="H54" s="33">
        <v>1508</v>
      </c>
      <c r="I54" s="33">
        <v>1450</v>
      </c>
      <c r="J54" s="5">
        <v>705.28</v>
      </c>
      <c r="K54" s="40">
        <v>333200</v>
      </c>
      <c r="L54" s="45">
        <v>108.283333333</v>
      </c>
      <c r="M54" s="41">
        <v>5</v>
      </c>
      <c r="N54" s="32">
        <f>Rådatakommune[[#This Row],[B15-O]]/Rådatakommune[[#This Row],[Totalareal2015-O]]</f>
        <v>5.3737522686025407</v>
      </c>
      <c r="O54" s="34">
        <f>Rådatakommune[[#This Row],[B15-O]]/Rådatakommune[[#This Row],[B05-O]]-1</f>
        <v>-3.4148827726809383E-2</v>
      </c>
      <c r="P54" s="34">
        <f>Rådatakommune[[#This Row],[Kvinner20-39-O]]/Rådatakommune[[#This Row],[B15-O]]</f>
        <v>9.1556728232189979E-2</v>
      </c>
      <c r="Q54" s="34">
        <f>Rådatakommune[[#This Row],[Eldre67+-O]]/Rådatakommune[[#This Row],[B15-O]]</f>
        <v>0.21424802110817942</v>
      </c>
      <c r="R54" s="34">
        <f>Rådatakommune[[#This Row],[S14-O]]/Rådatakommune[[#This Row],[S04-O]]-1</f>
        <v>-3.8461538461538436E-2</v>
      </c>
      <c r="S54" s="34">
        <f>Rådatakommune[[#This Row],[Y14-O]]/Rådatakommune[[#This Row],[Folk20-64-O]]</f>
        <v>0.82090951711204874</v>
      </c>
    </row>
    <row r="55" spans="1:19" x14ac:dyDescent="0.25">
      <c r="A55" s="2" t="s">
        <v>53</v>
      </c>
      <c r="B55" s="37">
        <v>18844</v>
      </c>
      <c r="C55" s="36">
        <v>20794</v>
      </c>
      <c r="D55" s="33">
        <v>10260</v>
      </c>
      <c r="E55" s="38">
        <v>3383</v>
      </c>
      <c r="F55" s="39">
        <v>2598</v>
      </c>
      <c r="G55">
        <v>11999</v>
      </c>
      <c r="H55" s="33">
        <v>8988</v>
      </c>
      <c r="I55" s="33">
        <v>10121</v>
      </c>
      <c r="J55" s="5">
        <v>1229.28</v>
      </c>
      <c r="K55" s="40">
        <v>364500</v>
      </c>
      <c r="L55" s="45">
        <v>95.2</v>
      </c>
      <c r="M55" s="41">
        <v>5</v>
      </c>
      <c r="N55" s="32">
        <f>Rådatakommune[[#This Row],[B15-O]]/Rådatakommune[[#This Row],[Totalareal2015-O]]</f>
        <v>16.915592867369519</v>
      </c>
      <c r="O55" s="34">
        <f>Rådatakommune[[#This Row],[B15-O]]/Rådatakommune[[#This Row],[B05-O]]-1</f>
        <v>0.10348121417957978</v>
      </c>
      <c r="P55" s="34">
        <f>Rådatakommune[[#This Row],[Kvinner20-39-O]]/Rådatakommune[[#This Row],[B15-O]]</f>
        <v>0.12493988650572281</v>
      </c>
      <c r="Q55" s="34">
        <f>Rådatakommune[[#This Row],[Eldre67+-O]]/Rådatakommune[[#This Row],[B15-O]]</f>
        <v>0.16269116091180147</v>
      </c>
      <c r="R55" s="34">
        <f>Rådatakommune[[#This Row],[S14-O]]/Rådatakommune[[#This Row],[S04-O]]-1</f>
        <v>0.12605696484201157</v>
      </c>
      <c r="S55" s="34">
        <f>Rådatakommune[[#This Row],[Y14-O]]/Rådatakommune[[#This Row],[Folk20-64-O]]</f>
        <v>0.85507125593799482</v>
      </c>
    </row>
    <row r="56" spans="1:19" x14ac:dyDescent="0.25">
      <c r="A56" s="2" t="s">
        <v>54</v>
      </c>
      <c r="B56" s="37">
        <v>6882</v>
      </c>
      <c r="C56" s="36">
        <v>6569</v>
      </c>
      <c r="D56" s="33">
        <v>3033</v>
      </c>
      <c r="E56" s="38">
        <v>1414</v>
      </c>
      <c r="F56" s="39">
        <v>621</v>
      </c>
      <c r="G56">
        <v>3645</v>
      </c>
      <c r="H56" s="33">
        <v>2818</v>
      </c>
      <c r="I56" s="33">
        <v>2746</v>
      </c>
      <c r="J56" s="5">
        <v>3014.37</v>
      </c>
      <c r="K56" s="40">
        <v>319100</v>
      </c>
      <c r="L56" s="45">
        <v>148.15</v>
      </c>
      <c r="M56" s="41">
        <v>9</v>
      </c>
      <c r="N56" s="32">
        <f>Rådatakommune[[#This Row],[B15-O]]/Rådatakommune[[#This Row],[Totalareal2015-O]]</f>
        <v>2.1792281637622457</v>
      </c>
      <c r="O56" s="34">
        <f>Rådatakommune[[#This Row],[B15-O]]/Rådatakommune[[#This Row],[B05-O]]-1</f>
        <v>-4.548096483580355E-2</v>
      </c>
      <c r="P56" s="34">
        <f>Rådatakommune[[#This Row],[Kvinner20-39-O]]/Rådatakommune[[#This Row],[B15-O]]</f>
        <v>9.453493682447861E-2</v>
      </c>
      <c r="Q56" s="34">
        <f>Rådatakommune[[#This Row],[Eldre67+-O]]/Rådatakommune[[#This Row],[B15-O]]</f>
        <v>0.21525346323641345</v>
      </c>
      <c r="R56" s="34">
        <f>Rådatakommune[[#This Row],[S14-O]]/Rådatakommune[[#This Row],[S04-O]]-1</f>
        <v>-2.5550035486160416E-2</v>
      </c>
      <c r="S56" s="34">
        <f>Rådatakommune[[#This Row],[Y14-O]]/Rådatakommune[[#This Row],[Folk20-64-O]]</f>
        <v>0.83209876543209882</v>
      </c>
    </row>
    <row r="57" spans="1:19" x14ac:dyDescent="0.25">
      <c r="A57" s="2" t="s">
        <v>55</v>
      </c>
      <c r="B57" s="37">
        <v>4398</v>
      </c>
      <c r="C57" s="36">
        <v>4456</v>
      </c>
      <c r="D57" s="33">
        <v>2109</v>
      </c>
      <c r="E57" s="38">
        <v>790</v>
      </c>
      <c r="F57" s="39">
        <v>477</v>
      </c>
      <c r="G57">
        <v>2527</v>
      </c>
      <c r="H57" s="33">
        <v>1831</v>
      </c>
      <c r="I57" s="33">
        <v>1906</v>
      </c>
      <c r="J57" s="5">
        <v>1339.92</v>
      </c>
      <c r="K57" s="40">
        <v>345200</v>
      </c>
      <c r="L57" s="45">
        <v>118.916666667</v>
      </c>
      <c r="M57" s="41">
        <v>5</v>
      </c>
      <c r="N57" s="32">
        <f>Rådatakommune[[#This Row],[B15-O]]/Rådatakommune[[#This Row],[Totalareal2015-O]]</f>
        <v>3.3255716759209504</v>
      </c>
      <c r="O57" s="34">
        <f>Rådatakommune[[#This Row],[B15-O]]/Rådatakommune[[#This Row],[B05-O]]-1</f>
        <v>1.3187812642110108E-2</v>
      </c>
      <c r="P57" s="34">
        <f>Rådatakommune[[#This Row],[Kvinner20-39-O]]/Rådatakommune[[#This Row],[B15-O]]</f>
        <v>0.10704667863554758</v>
      </c>
      <c r="Q57" s="34">
        <f>Rådatakommune[[#This Row],[Eldre67+-O]]/Rådatakommune[[#This Row],[B15-O]]</f>
        <v>0.17728904847396768</v>
      </c>
      <c r="R57" s="34">
        <f>Rådatakommune[[#This Row],[S14-O]]/Rådatakommune[[#This Row],[S04-O]]-1</f>
        <v>4.0961223375204803E-2</v>
      </c>
      <c r="S57" s="34">
        <f>Rådatakommune[[#This Row],[Y14-O]]/Rådatakommune[[#This Row],[Folk20-64-O]]</f>
        <v>0.83458646616541354</v>
      </c>
    </row>
    <row r="58" spans="1:19" x14ac:dyDescent="0.25">
      <c r="A58" s="2" t="s">
        <v>56</v>
      </c>
      <c r="B58" s="37">
        <v>2832</v>
      </c>
      <c r="C58" s="36">
        <v>2619</v>
      </c>
      <c r="D58" s="33">
        <v>1163</v>
      </c>
      <c r="E58" s="38">
        <v>561</v>
      </c>
      <c r="F58" s="39">
        <v>248</v>
      </c>
      <c r="G58">
        <v>1512</v>
      </c>
      <c r="H58" s="33">
        <v>1079</v>
      </c>
      <c r="I58" s="33">
        <v>1039</v>
      </c>
      <c r="J58" s="5">
        <v>2165.79</v>
      </c>
      <c r="K58" s="40">
        <v>305800</v>
      </c>
      <c r="L58" s="45">
        <v>162.44999999999999</v>
      </c>
      <c r="M58" s="41">
        <v>11</v>
      </c>
      <c r="N58" s="32">
        <f>Rådatakommune[[#This Row],[B15-O]]/Rådatakommune[[#This Row],[Totalareal2015-O]]</f>
        <v>1.209258515368526</v>
      </c>
      <c r="O58" s="34">
        <f>Rådatakommune[[#This Row],[B15-O]]/Rådatakommune[[#This Row],[B05-O]]-1</f>
        <v>-7.5211864406779627E-2</v>
      </c>
      <c r="P58" s="34">
        <f>Rådatakommune[[#This Row],[Kvinner20-39-O]]/Rådatakommune[[#This Row],[B15-O]]</f>
        <v>9.4692630775105008E-2</v>
      </c>
      <c r="Q58" s="34">
        <f>Rådatakommune[[#This Row],[Eldre67+-O]]/Rådatakommune[[#This Row],[B15-O]]</f>
        <v>0.21420389461626574</v>
      </c>
      <c r="R58" s="34">
        <f>Rådatakommune[[#This Row],[S14-O]]/Rådatakommune[[#This Row],[S04-O]]-1</f>
        <v>-3.707136237256714E-2</v>
      </c>
      <c r="S58" s="34">
        <f>Rådatakommune[[#This Row],[Y14-O]]/Rådatakommune[[#This Row],[Folk20-64-O]]</f>
        <v>0.76917989417989419</v>
      </c>
    </row>
    <row r="59" spans="1:19" x14ac:dyDescent="0.25">
      <c r="A59" s="2" t="s">
        <v>57</v>
      </c>
      <c r="B59" s="37">
        <v>2105</v>
      </c>
      <c r="C59" s="36">
        <v>1885</v>
      </c>
      <c r="D59" s="33">
        <v>918</v>
      </c>
      <c r="E59" s="38">
        <v>465</v>
      </c>
      <c r="F59" s="39">
        <v>148</v>
      </c>
      <c r="G59">
        <v>998</v>
      </c>
      <c r="H59" s="33">
        <v>771</v>
      </c>
      <c r="I59" s="33">
        <v>699</v>
      </c>
      <c r="J59" s="5">
        <v>3179.52</v>
      </c>
      <c r="K59" s="40">
        <v>324300</v>
      </c>
      <c r="L59" s="45">
        <v>193.58333333300001</v>
      </c>
      <c r="M59" s="41">
        <v>8</v>
      </c>
      <c r="N59" s="32">
        <f>Rådatakommune[[#This Row],[B15-O]]/Rådatakommune[[#This Row],[Totalareal2015-O]]</f>
        <v>0.59285678341384862</v>
      </c>
      <c r="O59" s="34">
        <f>Rådatakommune[[#This Row],[B15-O]]/Rådatakommune[[#This Row],[B05-O]]-1</f>
        <v>-0.10451306413301664</v>
      </c>
      <c r="P59" s="34">
        <f>Rådatakommune[[#This Row],[Kvinner20-39-O]]/Rådatakommune[[#This Row],[B15-O]]</f>
        <v>7.8514588859416451E-2</v>
      </c>
      <c r="Q59" s="34">
        <f>Rådatakommune[[#This Row],[Eldre67+-O]]/Rådatakommune[[#This Row],[B15-O]]</f>
        <v>0.24668435013262599</v>
      </c>
      <c r="R59" s="34">
        <f>Rådatakommune[[#This Row],[S14-O]]/Rådatakommune[[#This Row],[S04-O]]-1</f>
        <v>-9.3385214007782102E-2</v>
      </c>
      <c r="S59" s="34">
        <f>Rådatakommune[[#This Row],[Y14-O]]/Rådatakommune[[#This Row],[Folk20-64-O]]</f>
        <v>0.91983967935871747</v>
      </c>
    </row>
    <row r="60" spans="1:19" x14ac:dyDescent="0.25">
      <c r="A60" s="2" t="s">
        <v>58</v>
      </c>
      <c r="B60" s="37">
        <v>1499</v>
      </c>
      <c r="C60" s="36">
        <v>1359</v>
      </c>
      <c r="D60" s="33">
        <v>645</v>
      </c>
      <c r="E60" s="38">
        <v>323</v>
      </c>
      <c r="F60" s="39">
        <v>113</v>
      </c>
      <c r="G60">
        <v>707</v>
      </c>
      <c r="H60" s="33">
        <v>632</v>
      </c>
      <c r="I60" s="33">
        <v>530</v>
      </c>
      <c r="J60" s="5">
        <v>2196.5500000000002</v>
      </c>
      <c r="K60" s="40">
        <v>304400</v>
      </c>
      <c r="L60" s="45">
        <v>188.65</v>
      </c>
      <c r="M60" s="41">
        <v>9</v>
      </c>
      <c r="N60" s="32">
        <f>Rådatakommune[[#This Row],[B15-O]]/Rådatakommune[[#This Row],[Totalareal2015-O]]</f>
        <v>0.61869750290227854</v>
      </c>
      <c r="O60" s="34">
        <f>Rådatakommune[[#This Row],[B15-O]]/Rådatakommune[[#This Row],[B05-O]]-1</f>
        <v>-9.339559706470979E-2</v>
      </c>
      <c r="P60" s="34">
        <f>Rådatakommune[[#This Row],[Kvinner20-39-O]]/Rådatakommune[[#This Row],[B15-O]]</f>
        <v>8.3149374540103016E-2</v>
      </c>
      <c r="Q60" s="34">
        <f>Rådatakommune[[#This Row],[Eldre67+-O]]/Rådatakommune[[#This Row],[B15-O]]</f>
        <v>0.23767476085356881</v>
      </c>
      <c r="R60" s="34">
        <f>Rådatakommune[[#This Row],[S14-O]]/Rådatakommune[[#This Row],[S04-O]]-1</f>
        <v>-0.16139240506329111</v>
      </c>
      <c r="S60" s="34">
        <f>Rådatakommune[[#This Row],[Y14-O]]/Rådatakommune[[#This Row],[Folk20-64-O]]</f>
        <v>0.91230551626591228</v>
      </c>
    </row>
    <row r="61" spans="1:19" x14ac:dyDescent="0.25">
      <c r="A61" s="2" t="s">
        <v>59</v>
      </c>
      <c r="B61" s="37">
        <v>1778</v>
      </c>
      <c r="C61" s="36">
        <v>1656</v>
      </c>
      <c r="D61" s="33">
        <v>859</v>
      </c>
      <c r="E61" s="38">
        <v>281</v>
      </c>
      <c r="F61" s="39">
        <v>167</v>
      </c>
      <c r="G61">
        <v>929</v>
      </c>
      <c r="H61" s="33">
        <v>722</v>
      </c>
      <c r="I61" s="33">
        <v>648</v>
      </c>
      <c r="J61" s="5">
        <v>1122.5900000000001</v>
      </c>
      <c r="K61" s="40">
        <v>327500</v>
      </c>
      <c r="L61" s="45">
        <v>179.63333333330002</v>
      </c>
      <c r="M61" s="41">
        <v>8</v>
      </c>
      <c r="N61" s="32">
        <f>Rådatakommune[[#This Row],[B15-O]]/Rådatakommune[[#This Row],[Totalareal2015-O]]</f>
        <v>1.4751601207920966</v>
      </c>
      <c r="O61" s="34">
        <f>Rådatakommune[[#This Row],[B15-O]]/Rådatakommune[[#This Row],[B05-O]]-1</f>
        <v>-6.8616422947131661E-2</v>
      </c>
      <c r="P61" s="34">
        <f>Rådatakommune[[#This Row],[Kvinner20-39-O]]/Rådatakommune[[#This Row],[B15-O]]</f>
        <v>0.10084541062801933</v>
      </c>
      <c r="Q61" s="34">
        <f>Rådatakommune[[#This Row],[Eldre67+-O]]/Rådatakommune[[#This Row],[B15-O]]</f>
        <v>0.16968599033816426</v>
      </c>
      <c r="R61" s="34">
        <f>Rådatakommune[[#This Row],[S14-O]]/Rådatakommune[[#This Row],[S04-O]]-1</f>
        <v>-0.10249307479224379</v>
      </c>
      <c r="S61" s="34">
        <f>Rådatakommune[[#This Row],[Y14-O]]/Rådatakommune[[#This Row],[Folk20-64-O]]</f>
        <v>0.92465016146393975</v>
      </c>
    </row>
    <row r="62" spans="1:19" x14ac:dyDescent="0.25">
      <c r="A62" s="2" t="s">
        <v>60</v>
      </c>
      <c r="B62" s="37">
        <v>5405</v>
      </c>
      <c r="C62" s="36">
        <v>5562</v>
      </c>
      <c r="D62" s="33">
        <v>2886</v>
      </c>
      <c r="E62" s="38">
        <v>908</v>
      </c>
      <c r="F62" s="39">
        <v>570</v>
      </c>
      <c r="G62">
        <v>3111</v>
      </c>
      <c r="H62" s="33">
        <v>3046</v>
      </c>
      <c r="I62" s="33">
        <v>3256</v>
      </c>
      <c r="J62" s="5">
        <v>1880.51</v>
      </c>
      <c r="K62" s="40">
        <v>353900</v>
      </c>
      <c r="L62" s="45">
        <v>196.21666666670001</v>
      </c>
      <c r="M62" s="41">
        <v>8</v>
      </c>
      <c r="N62" s="32">
        <f>Rådatakommune[[#This Row],[B15-O]]/Rådatakommune[[#This Row],[Totalareal2015-O]]</f>
        <v>2.9577082812641251</v>
      </c>
      <c r="O62" s="34">
        <f>Rådatakommune[[#This Row],[B15-O]]/Rådatakommune[[#This Row],[B05-O]]-1</f>
        <v>2.9047178538390339E-2</v>
      </c>
      <c r="P62" s="34">
        <f>Rådatakommune[[#This Row],[Kvinner20-39-O]]/Rådatakommune[[#This Row],[B15-O]]</f>
        <v>0.10248112189859762</v>
      </c>
      <c r="Q62" s="34">
        <f>Rådatakommune[[#This Row],[Eldre67+-O]]/Rådatakommune[[#This Row],[B15-O]]</f>
        <v>0.16325062927004674</v>
      </c>
      <c r="R62" s="34">
        <f>Rådatakommune[[#This Row],[S14-O]]/Rådatakommune[[#This Row],[S04-O]]-1</f>
        <v>6.8942875902823442E-2</v>
      </c>
      <c r="S62" s="34">
        <f>Rådatakommune[[#This Row],[Y14-O]]/Rådatakommune[[#This Row],[Folk20-64-O]]</f>
        <v>0.92767598842815813</v>
      </c>
    </row>
    <row r="63" spans="1:19" x14ac:dyDescent="0.25">
      <c r="A63" s="2" t="s">
        <v>61</v>
      </c>
      <c r="B63" s="37">
        <v>2416</v>
      </c>
      <c r="C63" s="36">
        <v>2418</v>
      </c>
      <c r="D63" s="33">
        <v>1280</v>
      </c>
      <c r="E63" s="38">
        <v>411</v>
      </c>
      <c r="F63" s="39">
        <v>255</v>
      </c>
      <c r="G63">
        <v>1332</v>
      </c>
      <c r="H63" s="33">
        <v>1081</v>
      </c>
      <c r="I63" s="33">
        <v>1228</v>
      </c>
      <c r="J63" s="5">
        <v>942.15</v>
      </c>
      <c r="K63" s="40">
        <v>353100</v>
      </c>
      <c r="L63" s="45">
        <v>214.96666666670001</v>
      </c>
      <c r="M63" s="41">
        <v>8</v>
      </c>
      <c r="N63" s="32">
        <f>Rådatakommune[[#This Row],[B15-O]]/Rådatakommune[[#This Row],[Totalareal2015-O]]</f>
        <v>2.5664703072759116</v>
      </c>
      <c r="O63" s="34">
        <f>Rådatakommune[[#This Row],[B15-O]]/Rådatakommune[[#This Row],[B05-O]]-1</f>
        <v>8.2781456953640031E-4</v>
      </c>
      <c r="P63" s="34">
        <f>Rådatakommune[[#This Row],[Kvinner20-39-O]]/Rådatakommune[[#This Row],[B15-O]]</f>
        <v>0.10545905707196029</v>
      </c>
      <c r="Q63" s="34">
        <f>Rådatakommune[[#This Row],[Eldre67+-O]]/Rådatakommune[[#This Row],[B15-O]]</f>
        <v>0.16997518610421836</v>
      </c>
      <c r="R63" s="34">
        <f>Rådatakommune[[#This Row],[S14-O]]/Rådatakommune[[#This Row],[S04-O]]-1</f>
        <v>0.13598519888991678</v>
      </c>
      <c r="S63" s="34">
        <f>Rådatakommune[[#This Row],[Y14-O]]/Rådatakommune[[#This Row],[Folk20-64-O]]</f>
        <v>0.96096096096096095</v>
      </c>
    </row>
    <row r="64" spans="1:19" x14ac:dyDescent="0.25">
      <c r="A64" s="2" t="s">
        <v>62</v>
      </c>
      <c r="B64" s="37">
        <v>1717</v>
      </c>
      <c r="C64" s="36">
        <v>1597</v>
      </c>
      <c r="D64" s="33">
        <v>829</v>
      </c>
      <c r="E64" s="38">
        <v>351</v>
      </c>
      <c r="F64" s="39">
        <v>122</v>
      </c>
      <c r="G64">
        <v>821</v>
      </c>
      <c r="H64" s="33">
        <v>703</v>
      </c>
      <c r="I64" s="33">
        <v>672</v>
      </c>
      <c r="J64" s="5">
        <v>1276.8799999999999</v>
      </c>
      <c r="K64" s="40">
        <v>330300</v>
      </c>
      <c r="L64" s="45">
        <v>233</v>
      </c>
      <c r="M64" s="41">
        <v>8</v>
      </c>
      <c r="N64" s="32">
        <f>Rådatakommune[[#This Row],[B15-O]]/Rådatakommune[[#This Row],[Totalareal2015-O]]</f>
        <v>1.2507048430549466</v>
      </c>
      <c r="O64" s="34">
        <f>Rådatakommune[[#This Row],[B15-O]]/Rådatakommune[[#This Row],[B05-O]]-1</f>
        <v>-6.9889341875363997E-2</v>
      </c>
      <c r="P64" s="34">
        <f>Rådatakommune[[#This Row],[Kvinner20-39-O]]/Rådatakommune[[#This Row],[B15-O]]</f>
        <v>7.6393237319974952E-2</v>
      </c>
      <c r="Q64" s="34">
        <f>Rådatakommune[[#This Row],[Eldre67+-O]]/Rådatakommune[[#This Row],[B15-O]]</f>
        <v>0.2197871008140263</v>
      </c>
      <c r="R64" s="34">
        <f>Rådatakommune[[#This Row],[S14-O]]/Rådatakommune[[#This Row],[S04-O]]-1</f>
        <v>-4.409672830725464E-2</v>
      </c>
      <c r="S64" s="34">
        <f>Rådatakommune[[#This Row],[Y14-O]]/Rådatakommune[[#This Row],[Folk20-64-O]]</f>
        <v>1.0097442143727162</v>
      </c>
    </row>
    <row r="65" spans="1:19" x14ac:dyDescent="0.25">
      <c r="A65" s="2" t="s">
        <v>63</v>
      </c>
      <c r="B65" s="37">
        <v>2087</v>
      </c>
      <c r="C65" s="36">
        <v>1991</v>
      </c>
      <c r="D65" s="33">
        <v>1081</v>
      </c>
      <c r="E65" s="38">
        <v>377</v>
      </c>
      <c r="F65" s="39">
        <v>189</v>
      </c>
      <c r="G65">
        <v>1095</v>
      </c>
      <c r="H65" s="33">
        <v>761</v>
      </c>
      <c r="I65" s="33">
        <v>757</v>
      </c>
      <c r="J65" s="5">
        <v>1040.4100000000001</v>
      </c>
      <c r="K65" s="40">
        <v>330100</v>
      </c>
      <c r="L65" s="45">
        <v>164.1</v>
      </c>
      <c r="M65" s="41">
        <v>9</v>
      </c>
      <c r="N65" s="32">
        <f>Rådatakommune[[#This Row],[B15-O]]/Rådatakommune[[#This Row],[Totalareal2015-O]]</f>
        <v>1.9136686498591899</v>
      </c>
      <c r="O65" s="34">
        <f>Rådatakommune[[#This Row],[B15-O]]/Rådatakommune[[#This Row],[B05-O]]-1</f>
        <v>-4.5999041686631492E-2</v>
      </c>
      <c r="P65" s="34">
        <f>Rådatakommune[[#This Row],[Kvinner20-39-O]]/Rådatakommune[[#This Row],[B15-O]]</f>
        <v>9.4927172275238572E-2</v>
      </c>
      <c r="Q65" s="34">
        <f>Rådatakommune[[#This Row],[Eldre67+-O]]/Rådatakommune[[#This Row],[B15-O]]</f>
        <v>0.18935208437970869</v>
      </c>
      <c r="R65" s="34">
        <f>Rådatakommune[[#This Row],[S14-O]]/Rådatakommune[[#This Row],[S04-O]]-1</f>
        <v>-5.2562417871222511E-3</v>
      </c>
      <c r="S65" s="34">
        <f>Rådatakommune[[#This Row],[Y14-O]]/Rådatakommune[[#This Row],[Folk20-64-O]]</f>
        <v>0.9872146118721461</v>
      </c>
    </row>
    <row r="66" spans="1:19" x14ac:dyDescent="0.25">
      <c r="A66" s="2" t="s">
        <v>64</v>
      </c>
      <c r="B66" s="37">
        <v>25075</v>
      </c>
      <c r="C66" s="36">
        <v>27300</v>
      </c>
      <c r="D66" s="33">
        <v>14148</v>
      </c>
      <c r="E66" s="38">
        <v>4561</v>
      </c>
      <c r="F66" s="39">
        <v>3443</v>
      </c>
      <c r="G66">
        <v>15969</v>
      </c>
      <c r="H66" s="33">
        <v>14728</v>
      </c>
      <c r="I66" s="33">
        <v>16399</v>
      </c>
      <c r="J66" s="5">
        <v>478.17</v>
      </c>
      <c r="K66" s="40">
        <v>384500</v>
      </c>
      <c r="L66" s="45">
        <v>126.383333333</v>
      </c>
      <c r="M66" s="41">
        <v>4</v>
      </c>
      <c r="N66" s="32">
        <f>Rådatakommune[[#This Row],[B15-O]]/Rådatakommune[[#This Row],[Totalareal2015-O]]</f>
        <v>57.092665788317959</v>
      </c>
      <c r="O66" s="34">
        <f>Rådatakommune[[#This Row],[B15-O]]/Rådatakommune[[#This Row],[B05-O]]-1</f>
        <v>8.8733798604187397E-2</v>
      </c>
      <c r="P66" s="34">
        <f>Rådatakommune[[#This Row],[Kvinner20-39-O]]/Rådatakommune[[#This Row],[B15-O]]</f>
        <v>0.12611721611721613</v>
      </c>
      <c r="Q66" s="34">
        <f>Rådatakommune[[#This Row],[Eldre67+-O]]/Rådatakommune[[#This Row],[B15-O]]</f>
        <v>0.16706959706959706</v>
      </c>
      <c r="R66" s="34">
        <f>Rådatakommune[[#This Row],[S14-O]]/Rådatakommune[[#This Row],[S04-O]]-1</f>
        <v>0.11345736013036389</v>
      </c>
      <c r="S66" s="34">
        <f>Rådatakommune[[#This Row],[Y14-O]]/Rådatakommune[[#This Row],[Folk20-64-O]]</f>
        <v>0.88596656021040765</v>
      </c>
    </row>
    <row r="67" spans="1:19" x14ac:dyDescent="0.25">
      <c r="A67" s="2" t="s">
        <v>65</v>
      </c>
      <c r="B67" s="37">
        <v>27648</v>
      </c>
      <c r="C67" s="36">
        <v>30063</v>
      </c>
      <c r="D67" s="33">
        <v>14962</v>
      </c>
      <c r="E67" s="38">
        <v>4842</v>
      </c>
      <c r="F67" s="39">
        <v>3659</v>
      </c>
      <c r="G67">
        <v>17652</v>
      </c>
      <c r="H67" s="33">
        <v>15249</v>
      </c>
      <c r="I67" s="33">
        <v>16595</v>
      </c>
      <c r="J67" s="5">
        <v>672.25</v>
      </c>
      <c r="K67" s="40">
        <v>362100</v>
      </c>
      <c r="L67" s="45">
        <v>104.05</v>
      </c>
      <c r="M67" s="41">
        <v>4</v>
      </c>
      <c r="N67" s="32">
        <f>Rådatakommune[[#This Row],[B15-O]]/Rådatakommune[[#This Row],[Totalareal2015-O]]</f>
        <v>44.719970249163261</v>
      </c>
      <c r="O67" s="34">
        <f>Rådatakommune[[#This Row],[B15-O]]/Rådatakommune[[#This Row],[B05-O]]-1</f>
        <v>8.7348090277777679E-2</v>
      </c>
      <c r="P67" s="34">
        <f>Rådatakommune[[#This Row],[Kvinner20-39-O]]/Rådatakommune[[#This Row],[B15-O]]</f>
        <v>0.12171107341250041</v>
      </c>
      <c r="Q67" s="34">
        <f>Rådatakommune[[#This Row],[Eldre67+-O]]/Rådatakommune[[#This Row],[B15-O]]</f>
        <v>0.16106177028240695</v>
      </c>
      <c r="R67" s="34">
        <f>Rådatakommune[[#This Row],[S14-O]]/Rådatakommune[[#This Row],[S04-O]]-1</f>
        <v>8.8268083152993615E-2</v>
      </c>
      <c r="S67" s="34">
        <f>Rådatakommune[[#This Row],[Y14-O]]/Rådatakommune[[#This Row],[Folk20-64-O]]</f>
        <v>0.84760933605257194</v>
      </c>
    </row>
    <row r="68" spans="1:19" x14ac:dyDescent="0.25">
      <c r="A68" s="2" t="s">
        <v>66</v>
      </c>
      <c r="B68" s="37">
        <v>2875</v>
      </c>
      <c r="C68" s="36">
        <v>2745</v>
      </c>
      <c r="D68" s="33">
        <v>1372</v>
      </c>
      <c r="E68" s="38">
        <v>556</v>
      </c>
      <c r="F68" s="39">
        <v>251</v>
      </c>
      <c r="G68">
        <v>1510</v>
      </c>
      <c r="H68" s="33">
        <v>1338</v>
      </c>
      <c r="I68" s="33">
        <v>1361</v>
      </c>
      <c r="J68" s="5">
        <v>1364.39</v>
      </c>
      <c r="K68" s="40">
        <v>332800</v>
      </c>
      <c r="L68" s="45">
        <v>238.68333333300001</v>
      </c>
      <c r="M68" s="41">
        <v>10</v>
      </c>
      <c r="N68" s="32">
        <f>Rådatakommune[[#This Row],[B15-O]]/Rådatakommune[[#This Row],[Totalareal2015-O]]</f>
        <v>2.0118880965119943</v>
      </c>
      <c r="O68" s="34">
        <f>Rådatakommune[[#This Row],[B15-O]]/Rådatakommune[[#This Row],[B05-O]]-1</f>
        <v>-4.5217391304347876E-2</v>
      </c>
      <c r="P68" s="34">
        <f>Rådatakommune[[#This Row],[Kvinner20-39-O]]/Rådatakommune[[#This Row],[B15-O]]</f>
        <v>9.143897996357013E-2</v>
      </c>
      <c r="Q68" s="34">
        <f>Rådatakommune[[#This Row],[Eldre67+-O]]/Rådatakommune[[#This Row],[B15-O]]</f>
        <v>0.20255009107468125</v>
      </c>
      <c r="R68" s="34">
        <f>Rådatakommune[[#This Row],[S14-O]]/Rådatakommune[[#This Row],[S04-O]]-1</f>
        <v>1.7189835575485812E-2</v>
      </c>
      <c r="S68" s="34">
        <f>Rådatakommune[[#This Row],[Y14-O]]/Rådatakommune[[#This Row],[Folk20-64-O]]</f>
        <v>0.90860927152317883</v>
      </c>
    </row>
    <row r="69" spans="1:19" x14ac:dyDescent="0.25">
      <c r="A69" s="2" t="s">
        <v>67</v>
      </c>
      <c r="B69" s="37">
        <v>2184</v>
      </c>
      <c r="C69" s="36">
        <v>2059</v>
      </c>
      <c r="D69" s="33">
        <v>1100</v>
      </c>
      <c r="E69" s="38">
        <v>403</v>
      </c>
      <c r="F69" s="39">
        <v>197</v>
      </c>
      <c r="G69">
        <v>1132</v>
      </c>
      <c r="H69" s="33">
        <v>923</v>
      </c>
      <c r="I69" s="33">
        <v>886</v>
      </c>
      <c r="J69" s="5">
        <v>2259.5</v>
      </c>
      <c r="K69" s="40">
        <v>342600</v>
      </c>
      <c r="L69" s="45">
        <v>260.60000000000002</v>
      </c>
      <c r="M69" s="41">
        <v>10</v>
      </c>
      <c r="N69" s="32">
        <f>Rådatakommune[[#This Row],[B15-O]]/Rådatakommune[[#This Row],[Totalareal2015-O]]</f>
        <v>0.91126355388360258</v>
      </c>
      <c r="O69" s="34">
        <f>Rådatakommune[[#This Row],[B15-O]]/Rådatakommune[[#This Row],[B05-O]]-1</f>
        <v>-5.7234432234432253E-2</v>
      </c>
      <c r="P69" s="34">
        <f>Rådatakommune[[#This Row],[Kvinner20-39-O]]/Rådatakommune[[#This Row],[B15-O]]</f>
        <v>9.5677513355998056E-2</v>
      </c>
      <c r="Q69" s="34">
        <f>Rådatakommune[[#This Row],[Eldre67+-O]]/Rådatakommune[[#This Row],[B15-O]]</f>
        <v>0.195726080621661</v>
      </c>
      <c r="R69" s="34">
        <f>Rådatakommune[[#This Row],[S14-O]]/Rådatakommune[[#This Row],[S04-O]]-1</f>
        <v>-4.0086673889490831E-2</v>
      </c>
      <c r="S69" s="34">
        <f>Rådatakommune[[#This Row],[Y14-O]]/Rådatakommune[[#This Row],[Folk20-64-O]]</f>
        <v>0.9717314487632509</v>
      </c>
    </row>
    <row r="70" spans="1:19" x14ac:dyDescent="0.25">
      <c r="A70" s="2" t="s">
        <v>68</v>
      </c>
      <c r="B70" s="37">
        <v>2394</v>
      </c>
      <c r="C70" s="36">
        <v>2245</v>
      </c>
      <c r="D70" s="33">
        <v>1179</v>
      </c>
      <c r="E70" s="38">
        <v>470</v>
      </c>
      <c r="F70" s="39">
        <v>219</v>
      </c>
      <c r="G70">
        <v>1229</v>
      </c>
      <c r="H70" s="33">
        <v>1071</v>
      </c>
      <c r="I70" s="33">
        <v>1082</v>
      </c>
      <c r="J70" s="5">
        <v>2075.5299999999997</v>
      </c>
      <c r="K70" s="40">
        <v>337800</v>
      </c>
      <c r="L70" s="45">
        <v>267.39999999999998</v>
      </c>
      <c r="M70" s="41">
        <v>10</v>
      </c>
      <c r="N70" s="32">
        <f>Rådatakommune[[#This Row],[B15-O]]/Rådatakommune[[#This Row],[Totalareal2015-O]]</f>
        <v>1.0816514336097287</v>
      </c>
      <c r="O70" s="34">
        <f>Rådatakommune[[#This Row],[B15-O]]/Rådatakommune[[#This Row],[B05-O]]-1</f>
        <v>-6.2238930659983316E-2</v>
      </c>
      <c r="P70" s="34">
        <f>Rådatakommune[[#This Row],[Kvinner20-39-O]]/Rådatakommune[[#This Row],[B15-O]]</f>
        <v>9.7550111358574609E-2</v>
      </c>
      <c r="Q70" s="34">
        <f>Rådatakommune[[#This Row],[Eldre67+-O]]/Rådatakommune[[#This Row],[B15-O]]</f>
        <v>0.20935412026726058</v>
      </c>
      <c r="R70" s="34">
        <f>Rådatakommune[[#This Row],[S14-O]]/Rådatakommune[[#This Row],[S04-O]]-1</f>
        <v>1.0270774976657293E-2</v>
      </c>
      <c r="S70" s="34">
        <f>Rådatakommune[[#This Row],[Y14-O]]/Rådatakommune[[#This Row],[Folk20-64-O]]</f>
        <v>0.95931651749389746</v>
      </c>
    </row>
    <row r="71" spans="1:19" x14ac:dyDescent="0.25">
      <c r="A71" s="2" t="s">
        <v>69</v>
      </c>
      <c r="B71" s="37">
        <v>2467</v>
      </c>
      <c r="C71" s="36">
        <v>2356</v>
      </c>
      <c r="D71" s="33">
        <v>1273</v>
      </c>
      <c r="E71" s="38">
        <v>429</v>
      </c>
      <c r="F71" s="39">
        <v>223</v>
      </c>
      <c r="G71">
        <v>1344</v>
      </c>
      <c r="H71" s="33">
        <v>1340</v>
      </c>
      <c r="I71" s="33">
        <v>1195</v>
      </c>
      <c r="J71" s="5">
        <v>1968.55</v>
      </c>
      <c r="K71" s="40">
        <v>338400</v>
      </c>
      <c r="L71" s="45">
        <v>251.966666667</v>
      </c>
      <c r="M71" s="41">
        <v>10</v>
      </c>
      <c r="N71" s="32">
        <f>Rådatakommune[[#This Row],[B15-O]]/Rådatakommune[[#This Row],[Totalareal2015-O]]</f>
        <v>1.1968199944121307</v>
      </c>
      <c r="O71" s="34">
        <f>Rådatakommune[[#This Row],[B15-O]]/Rådatakommune[[#This Row],[B05-O]]-1</f>
        <v>-4.499391974057565E-2</v>
      </c>
      <c r="P71" s="34">
        <f>Rådatakommune[[#This Row],[Kvinner20-39-O]]/Rådatakommune[[#This Row],[B15-O]]</f>
        <v>9.4651952461799665E-2</v>
      </c>
      <c r="Q71" s="34">
        <f>Rådatakommune[[#This Row],[Eldre67+-O]]/Rådatakommune[[#This Row],[B15-O]]</f>
        <v>0.18208828522920203</v>
      </c>
      <c r="R71" s="34">
        <f>Rådatakommune[[#This Row],[S14-O]]/Rådatakommune[[#This Row],[S04-O]]-1</f>
        <v>-0.10820895522388063</v>
      </c>
      <c r="S71" s="34">
        <f>Rådatakommune[[#This Row],[Y14-O]]/Rådatakommune[[#This Row],[Folk20-64-O]]</f>
        <v>0.94717261904761907</v>
      </c>
    </row>
    <row r="72" spans="1:19" x14ac:dyDescent="0.25">
      <c r="A72" s="2" t="s">
        <v>70</v>
      </c>
      <c r="B72" s="37">
        <v>3773</v>
      </c>
      <c r="C72" s="36">
        <v>3675</v>
      </c>
      <c r="D72" s="33">
        <v>1844</v>
      </c>
      <c r="E72" s="38">
        <v>750</v>
      </c>
      <c r="F72" s="39">
        <v>370</v>
      </c>
      <c r="G72">
        <v>1990</v>
      </c>
      <c r="H72" s="33">
        <v>1476</v>
      </c>
      <c r="I72" s="33">
        <v>1542</v>
      </c>
      <c r="J72" s="5">
        <v>1330</v>
      </c>
      <c r="K72" s="40">
        <v>334000</v>
      </c>
      <c r="L72" s="45">
        <v>237.7</v>
      </c>
      <c r="M72" s="41">
        <v>10</v>
      </c>
      <c r="N72" s="32">
        <f>Rådatakommune[[#This Row],[B15-O]]/Rådatakommune[[#This Row],[Totalareal2015-O]]</f>
        <v>2.763157894736842</v>
      </c>
      <c r="O72" s="34">
        <f>Rådatakommune[[#This Row],[B15-O]]/Rådatakommune[[#This Row],[B05-O]]-1</f>
        <v>-2.5974025974025983E-2</v>
      </c>
      <c r="P72" s="34">
        <f>Rådatakommune[[#This Row],[Kvinner20-39-O]]/Rådatakommune[[#This Row],[B15-O]]</f>
        <v>0.10068027210884353</v>
      </c>
      <c r="Q72" s="34">
        <f>Rådatakommune[[#This Row],[Eldre67+-O]]/Rådatakommune[[#This Row],[B15-O]]</f>
        <v>0.20408163265306123</v>
      </c>
      <c r="R72" s="34">
        <f>Rådatakommune[[#This Row],[S14-O]]/Rådatakommune[[#This Row],[S04-O]]-1</f>
        <v>4.471544715447151E-2</v>
      </c>
      <c r="S72" s="34">
        <f>Rådatakommune[[#This Row],[Y14-O]]/Rådatakommune[[#This Row],[Folk20-64-O]]</f>
        <v>0.92663316582914568</v>
      </c>
    </row>
    <row r="73" spans="1:19" x14ac:dyDescent="0.25">
      <c r="A73" s="2" t="s">
        <v>71</v>
      </c>
      <c r="B73" s="37">
        <v>5896</v>
      </c>
      <c r="C73" s="36">
        <v>5754</v>
      </c>
      <c r="D73" s="33">
        <v>2878</v>
      </c>
      <c r="E73" s="38">
        <v>1123</v>
      </c>
      <c r="F73" s="39">
        <v>537</v>
      </c>
      <c r="G73">
        <v>3186</v>
      </c>
      <c r="H73" s="33">
        <v>2582</v>
      </c>
      <c r="I73" s="33">
        <v>2698</v>
      </c>
      <c r="J73" s="5">
        <v>1141.48</v>
      </c>
      <c r="K73" s="40">
        <v>361400</v>
      </c>
      <c r="L73" s="45">
        <v>187.43333333300001</v>
      </c>
      <c r="M73" s="41">
        <v>8</v>
      </c>
      <c r="N73" s="32">
        <f>Rådatakommune[[#This Row],[B15-O]]/Rådatakommune[[#This Row],[Totalareal2015-O]]</f>
        <v>5.0408241931527487</v>
      </c>
      <c r="O73" s="34">
        <f>Rådatakommune[[#This Row],[B15-O]]/Rådatakommune[[#This Row],[B05-O]]-1</f>
        <v>-2.4084124830393461E-2</v>
      </c>
      <c r="P73" s="34">
        <f>Rådatakommune[[#This Row],[Kvinner20-39-O]]/Rådatakommune[[#This Row],[B15-O]]</f>
        <v>9.3326381647549528E-2</v>
      </c>
      <c r="Q73" s="34">
        <f>Rådatakommune[[#This Row],[Eldre67+-O]]/Rådatakommune[[#This Row],[B15-O]]</f>
        <v>0.19516857838025722</v>
      </c>
      <c r="R73" s="34">
        <f>Rådatakommune[[#This Row],[S14-O]]/Rådatakommune[[#This Row],[S04-O]]-1</f>
        <v>4.4926413632842666E-2</v>
      </c>
      <c r="S73" s="34">
        <f>Rådatakommune[[#This Row],[Y14-O]]/Rådatakommune[[#This Row],[Folk20-64-O]]</f>
        <v>0.90332705586942874</v>
      </c>
    </row>
    <row r="74" spans="1:19" x14ac:dyDescent="0.25">
      <c r="A74" s="2" t="s">
        <v>72</v>
      </c>
      <c r="B74" s="37">
        <v>6059</v>
      </c>
      <c r="C74" s="36">
        <v>5965</v>
      </c>
      <c r="D74" s="33">
        <v>2872</v>
      </c>
      <c r="E74" s="38">
        <v>1132</v>
      </c>
      <c r="F74" s="39">
        <v>576</v>
      </c>
      <c r="G74">
        <v>3342</v>
      </c>
      <c r="H74" s="33">
        <v>2960</v>
      </c>
      <c r="I74" s="33">
        <v>2967</v>
      </c>
      <c r="J74" s="5">
        <v>904.93</v>
      </c>
      <c r="K74" s="40">
        <v>319200</v>
      </c>
      <c r="L74" s="45">
        <v>213.8</v>
      </c>
      <c r="M74" s="41">
        <v>10</v>
      </c>
      <c r="N74" s="32">
        <f>Rådatakommune[[#This Row],[B15-O]]/Rådatakommune[[#This Row],[Totalareal2015-O]]</f>
        <v>6.5916700739283707</v>
      </c>
      <c r="O74" s="34">
        <f>Rådatakommune[[#This Row],[B15-O]]/Rådatakommune[[#This Row],[B05-O]]-1</f>
        <v>-1.5514111239478434E-2</v>
      </c>
      <c r="P74" s="34">
        <f>Rådatakommune[[#This Row],[Kvinner20-39-O]]/Rådatakommune[[#This Row],[B15-O]]</f>
        <v>9.6563285834031856E-2</v>
      </c>
      <c r="Q74" s="34">
        <f>Rådatakommune[[#This Row],[Eldre67+-O]]/Rådatakommune[[#This Row],[B15-O]]</f>
        <v>0.18977367979882648</v>
      </c>
      <c r="R74" s="34">
        <f>Rådatakommune[[#This Row],[S14-O]]/Rådatakommune[[#This Row],[S04-O]]-1</f>
        <v>2.3648648648648685E-3</v>
      </c>
      <c r="S74" s="34">
        <f>Rådatakommune[[#This Row],[Y14-O]]/Rådatakommune[[#This Row],[Folk20-64-O]]</f>
        <v>0.85936564931178938</v>
      </c>
    </row>
    <row r="75" spans="1:19" x14ac:dyDescent="0.25">
      <c r="A75" s="2" t="s">
        <v>73</v>
      </c>
      <c r="B75" s="37">
        <v>3271</v>
      </c>
      <c r="C75" s="36">
        <v>3204</v>
      </c>
      <c r="D75" s="33">
        <v>1614</v>
      </c>
      <c r="E75" s="38">
        <v>607</v>
      </c>
      <c r="F75" s="39">
        <v>313</v>
      </c>
      <c r="G75">
        <v>1761</v>
      </c>
      <c r="H75" s="33">
        <v>1167</v>
      </c>
      <c r="I75" s="33">
        <v>1125</v>
      </c>
      <c r="J75" s="5">
        <v>742.17000000000007</v>
      </c>
      <c r="K75" s="40">
        <v>352900</v>
      </c>
      <c r="L75" s="45">
        <v>175.9</v>
      </c>
      <c r="M75" s="41">
        <v>5</v>
      </c>
      <c r="N75" s="32">
        <f>Rådatakommune[[#This Row],[B15-O]]/Rådatakommune[[#This Row],[Totalareal2015-O]]</f>
        <v>4.3170702130239702</v>
      </c>
      <c r="O75" s="34">
        <f>Rådatakommune[[#This Row],[B15-O]]/Rådatakommune[[#This Row],[B05-O]]-1</f>
        <v>-2.0483032711708926E-2</v>
      </c>
      <c r="P75" s="34">
        <f>Rådatakommune[[#This Row],[Kvinner20-39-O]]/Rådatakommune[[#This Row],[B15-O]]</f>
        <v>9.7690387016229716E-2</v>
      </c>
      <c r="Q75" s="34">
        <f>Rådatakommune[[#This Row],[Eldre67+-O]]/Rådatakommune[[#This Row],[B15-O]]</f>
        <v>0.18945068664169787</v>
      </c>
      <c r="R75" s="34">
        <f>Rådatakommune[[#This Row],[S14-O]]/Rådatakommune[[#This Row],[S04-O]]-1</f>
        <v>-3.5989717223650408E-2</v>
      </c>
      <c r="S75" s="34">
        <f>Rådatakommune[[#This Row],[Y14-O]]/Rådatakommune[[#This Row],[Folk20-64-O]]</f>
        <v>0.91652470187393531</v>
      </c>
    </row>
    <row r="76" spans="1:19" x14ac:dyDescent="0.25">
      <c r="A76" s="2" t="s">
        <v>74</v>
      </c>
      <c r="B76" s="37">
        <v>4586</v>
      </c>
      <c r="C76" s="36">
        <v>4459</v>
      </c>
      <c r="D76" s="33">
        <v>2277</v>
      </c>
      <c r="E76" s="38">
        <v>896</v>
      </c>
      <c r="F76" s="39">
        <v>447</v>
      </c>
      <c r="G76">
        <v>2474</v>
      </c>
      <c r="H76" s="33">
        <v>2229</v>
      </c>
      <c r="I76" s="33">
        <v>2233</v>
      </c>
      <c r="J76" s="5">
        <v>1247.58</v>
      </c>
      <c r="K76" s="40">
        <v>331500</v>
      </c>
      <c r="L76" s="45">
        <v>166.45</v>
      </c>
      <c r="M76" s="41">
        <v>5</v>
      </c>
      <c r="N76" s="32">
        <f>Rådatakommune[[#This Row],[B15-O]]/Rådatakommune[[#This Row],[Totalareal2015-O]]</f>
        <v>3.574119495342984</v>
      </c>
      <c r="O76" s="34">
        <f>Rådatakommune[[#This Row],[B15-O]]/Rådatakommune[[#This Row],[B05-O]]-1</f>
        <v>-2.7692978630614928E-2</v>
      </c>
      <c r="P76" s="34">
        <f>Rådatakommune[[#This Row],[Kvinner20-39-O]]/Rådatakommune[[#This Row],[B15-O]]</f>
        <v>0.10024669208342678</v>
      </c>
      <c r="Q76" s="34">
        <f>Rådatakommune[[#This Row],[Eldre67+-O]]/Rådatakommune[[#This Row],[B15-O]]</f>
        <v>0.20094191522762953</v>
      </c>
      <c r="R76" s="34">
        <f>Rådatakommune[[#This Row],[S14-O]]/Rådatakommune[[#This Row],[S04-O]]-1</f>
        <v>1.7945266935845972E-3</v>
      </c>
      <c r="S76" s="34">
        <f>Rådatakommune[[#This Row],[Y14-O]]/Rådatakommune[[#This Row],[Folk20-64-O]]</f>
        <v>0.92037186742118027</v>
      </c>
    </row>
    <row r="77" spans="1:19" x14ac:dyDescent="0.25">
      <c r="A77" s="2" t="s">
        <v>75</v>
      </c>
      <c r="B77" s="37">
        <v>4840</v>
      </c>
      <c r="C77" s="36">
        <v>5065</v>
      </c>
      <c r="D77" s="33">
        <v>2681</v>
      </c>
      <c r="E77" s="38">
        <v>828</v>
      </c>
      <c r="F77" s="39">
        <v>551</v>
      </c>
      <c r="G77">
        <v>2978</v>
      </c>
      <c r="H77" s="33">
        <v>1786</v>
      </c>
      <c r="I77" s="33">
        <v>1726</v>
      </c>
      <c r="J77" s="5">
        <v>639.9</v>
      </c>
      <c r="K77" s="40">
        <v>351800</v>
      </c>
      <c r="L77" s="45">
        <v>145.1</v>
      </c>
      <c r="M77" s="41">
        <v>4</v>
      </c>
      <c r="N77" s="32">
        <f>Rådatakommune[[#This Row],[B15-O]]/Rådatakommune[[#This Row],[Totalareal2015-O]]</f>
        <v>7.9152992655102361</v>
      </c>
      <c r="O77" s="34">
        <f>Rådatakommune[[#This Row],[B15-O]]/Rådatakommune[[#This Row],[B05-O]]-1</f>
        <v>4.6487603305785052E-2</v>
      </c>
      <c r="P77" s="34">
        <f>Rådatakommune[[#This Row],[Kvinner20-39-O]]/Rådatakommune[[#This Row],[B15-O]]</f>
        <v>0.10878578479763081</v>
      </c>
      <c r="Q77" s="34">
        <f>Rådatakommune[[#This Row],[Eldre67+-O]]/Rådatakommune[[#This Row],[B15-O]]</f>
        <v>0.16347482724580453</v>
      </c>
      <c r="R77" s="34">
        <f>Rådatakommune[[#This Row],[S14-O]]/Rådatakommune[[#This Row],[S04-O]]-1</f>
        <v>-3.3594624860022404E-2</v>
      </c>
      <c r="S77" s="34">
        <f>Rådatakommune[[#This Row],[Y14-O]]/Rådatakommune[[#This Row],[Folk20-64-O]]</f>
        <v>0.90026863666890533</v>
      </c>
    </row>
    <row r="78" spans="1:19" x14ac:dyDescent="0.25">
      <c r="A78" s="2" t="s">
        <v>76</v>
      </c>
      <c r="B78" s="37">
        <v>6175</v>
      </c>
      <c r="C78" s="36">
        <v>6210</v>
      </c>
      <c r="D78" s="33">
        <v>3290</v>
      </c>
      <c r="E78" s="38">
        <v>1184</v>
      </c>
      <c r="F78" s="39">
        <v>630</v>
      </c>
      <c r="G78">
        <v>3466</v>
      </c>
      <c r="H78" s="33">
        <v>2147</v>
      </c>
      <c r="I78" s="33">
        <v>2398</v>
      </c>
      <c r="J78" s="5">
        <v>1191.1600000000001</v>
      </c>
      <c r="K78" s="40">
        <v>350400</v>
      </c>
      <c r="L78" s="45">
        <v>140.76666666700001</v>
      </c>
      <c r="M78" s="41">
        <v>4</v>
      </c>
      <c r="N78" s="32">
        <f>Rådatakommune[[#This Row],[B15-O]]/Rådatakommune[[#This Row],[Totalareal2015-O]]</f>
        <v>5.2134054199267936</v>
      </c>
      <c r="O78" s="34">
        <f>Rådatakommune[[#This Row],[B15-O]]/Rådatakommune[[#This Row],[B05-O]]-1</f>
        <v>5.6680161943318819E-3</v>
      </c>
      <c r="P78" s="34">
        <f>Rådatakommune[[#This Row],[Kvinner20-39-O]]/Rådatakommune[[#This Row],[B15-O]]</f>
        <v>0.10144927536231885</v>
      </c>
      <c r="Q78" s="34">
        <f>Rådatakommune[[#This Row],[Eldre67+-O]]/Rådatakommune[[#This Row],[B15-O]]</f>
        <v>0.19066022544283415</v>
      </c>
      <c r="R78" s="34">
        <f>Rådatakommune[[#This Row],[S14-O]]/Rådatakommune[[#This Row],[S04-O]]-1</f>
        <v>0.11690731252911046</v>
      </c>
      <c r="S78" s="34">
        <f>Rådatakommune[[#This Row],[Y14-O]]/Rådatakommune[[#This Row],[Folk20-64-O]]</f>
        <v>0.94922100403923837</v>
      </c>
    </row>
    <row r="79" spans="1:19" x14ac:dyDescent="0.25">
      <c r="A79" s="2" t="s">
        <v>77</v>
      </c>
      <c r="B79" s="37">
        <v>14604</v>
      </c>
      <c r="C79" s="36">
        <v>14796</v>
      </c>
      <c r="D79" s="33">
        <v>7354</v>
      </c>
      <c r="E79" s="38">
        <v>2640</v>
      </c>
      <c r="F79" s="39">
        <v>1513</v>
      </c>
      <c r="G79">
        <v>8448</v>
      </c>
      <c r="H79" s="33">
        <v>4771</v>
      </c>
      <c r="I79" s="33">
        <v>5268</v>
      </c>
      <c r="J79" s="5">
        <v>562.57000000000005</v>
      </c>
      <c r="K79" s="40">
        <v>354300</v>
      </c>
      <c r="L79" s="45">
        <v>90.5</v>
      </c>
      <c r="M79" s="41">
        <v>4</v>
      </c>
      <c r="N79" s="32">
        <f>Rådatakommune[[#This Row],[B15-O]]/Rådatakommune[[#This Row],[Totalareal2015-O]]</f>
        <v>26.300727020637428</v>
      </c>
      <c r="O79" s="34">
        <f>Rådatakommune[[#This Row],[B15-O]]/Rådatakommune[[#This Row],[B05-O]]-1</f>
        <v>1.3147082990961456E-2</v>
      </c>
      <c r="P79" s="34">
        <f>Rådatakommune[[#This Row],[Kvinner20-39-O]]/Rådatakommune[[#This Row],[B15-O]]</f>
        <v>0.102257366855907</v>
      </c>
      <c r="Q79" s="34">
        <f>Rådatakommune[[#This Row],[Eldre67+-O]]/Rådatakommune[[#This Row],[B15-O]]</f>
        <v>0.17842660178426603</v>
      </c>
      <c r="R79" s="34">
        <f>Rådatakommune[[#This Row],[S14-O]]/Rådatakommune[[#This Row],[S04-O]]-1</f>
        <v>0.10417103332634658</v>
      </c>
      <c r="S79" s="34">
        <f>Rådatakommune[[#This Row],[Y14-O]]/Rådatakommune[[#This Row],[Folk20-64-O]]</f>
        <v>0.87050189393939392</v>
      </c>
    </row>
    <row r="80" spans="1:19" x14ac:dyDescent="0.25">
      <c r="A80" s="2" t="s">
        <v>78</v>
      </c>
      <c r="B80" s="37">
        <v>12546</v>
      </c>
      <c r="C80" s="36">
        <v>13152</v>
      </c>
      <c r="D80" s="33">
        <v>6487</v>
      </c>
      <c r="E80" s="38">
        <v>2255</v>
      </c>
      <c r="F80" s="39">
        <v>1412</v>
      </c>
      <c r="G80">
        <v>7567</v>
      </c>
      <c r="H80" s="33">
        <v>6365</v>
      </c>
      <c r="I80" s="33">
        <v>6516</v>
      </c>
      <c r="J80" s="5">
        <v>249.51999999999998</v>
      </c>
      <c r="K80" s="40">
        <v>353600</v>
      </c>
      <c r="L80" s="45">
        <v>95.866666666699999</v>
      </c>
      <c r="M80" s="41">
        <v>4</v>
      </c>
      <c r="N80" s="32">
        <f>Rådatakommune[[#This Row],[B15-O]]/Rådatakommune[[#This Row],[Totalareal2015-O]]</f>
        <v>52.709201667201029</v>
      </c>
      <c r="O80" s="34">
        <f>Rådatakommune[[#This Row],[B15-O]]/Rådatakommune[[#This Row],[B05-O]]-1</f>
        <v>4.8302247728359671E-2</v>
      </c>
      <c r="P80" s="34">
        <f>Rådatakommune[[#This Row],[Kvinner20-39-O]]/Rådatakommune[[#This Row],[B15-O]]</f>
        <v>0.10736009732360097</v>
      </c>
      <c r="Q80" s="34">
        <f>Rådatakommune[[#This Row],[Eldre67+-O]]/Rådatakommune[[#This Row],[B15-O]]</f>
        <v>0.17145681265206814</v>
      </c>
      <c r="R80" s="34">
        <f>Rådatakommune[[#This Row],[S14-O]]/Rådatakommune[[#This Row],[S04-O]]-1</f>
        <v>2.372348782403777E-2</v>
      </c>
      <c r="S80" s="34">
        <f>Rådatakommune[[#This Row],[Y14-O]]/Rådatakommune[[#This Row],[Folk20-64-O]]</f>
        <v>0.85727500991145766</v>
      </c>
    </row>
    <row r="81" spans="1:19" x14ac:dyDescent="0.25">
      <c r="A81" s="2" t="s">
        <v>79</v>
      </c>
      <c r="B81" s="37">
        <v>6335</v>
      </c>
      <c r="C81" s="36">
        <v>6599</v>
      </c>
      <c r="D81" s="33">
        <v>3244</v>
      </c>
      <c r="E81" s="38">
        <v>1101</v>
      </c>
      <c r="F81" s="39">
        <v>726</v>
      </c>
      <c r="G81">
        <v>3760</v>
      </c>
      <c r="H81" s="33">
        <v>2189</v>
      </c>
      <c r="I81" s="33">
        <v>2042</v>
      </c>
      <c r="J81" s="5">
        <v>225.72000000000003</v>
      </c>
      <c r="K81" s="40">
        <v>361100</v>
      </c>
      <c r="L81" s="45">
        <v>58.166666666700003</v>
      </c>
      <c r="M81" s="41">
        <v>5</v>
      </c>
      <c r="N81" s="32">
        <f>Rådatakommune[[#This Row],[B15-O]]/Rådatakommune[[#This Row],[Totalareal2015-O]]</f>
        <v>29.235335814283179</v>
      </c>
      <c r="O81" s="34">
        <f>Rådatakommune[[#This Row],[B15-O]]/Rådatakommune[[#This Row],[B05-O]]-1</f>
        <v>4.1673243883188604E-2</v>
      </c>
      <c r="P81" s="34">
        <f>Rådatakommune[[#This Row],[Kvinner20-39-O]]/Rådatakommune[[#This Row],[B15-O]]</f>
        <v>0.11001666919230187</v>
      </c>
      <c r="Q81" s="34">
        <f>Rådatakommune[[#This Row],[Eldre67+-O]]/Rådatakommune[[#This Row],[B15-O]]</f>
        <v>0.16684346113047432</v>
      </c>
      <c r="R81" s="34">
        <f>Rådatakommune[[#This Row],[S14-O]]/Rådatakommune[[#This Row],[S04-O]]-1</f>
        <v>-6.7153951576062076E-2</v>
      </c>
      <c r="S81" s="34">
        <f>Rådatakommune[[#This Row],[Y14-O]]/Rådatakommune[[#This Row],[Folk20-64-O]]</f>
        <v>0.86276595744680851</v>
      </c>
    </row>
    <row r="82" spans="1:19" x14ac:dyDescent="0.25">
      <c r="A82" s="2" t="s">
        <v>80</v>
      </c>
      <c r="B82" s="37">
        <v>8505</v>
      </c>
      <c r="C82" s="36">
        <v>9003</v>
      </c>
      <c r="D82" s="33">
        <v>4624</v>
      </c>
      <c r="E82" s="38">
        <v>1224</v>
      </c>
      <c r="F82" s="39">
        <v>1055</v>
      </c>
      <c r="G82">
        <v>5322</v>
      </c>
      <c r="H82" s="33">
        <v>2109</v>
      </c>
      <c r="I82" s="33">
        <v>2111</v>
      </c>
      <c r="J82" s="5">
        <v>291.83999999999997</v>
      </c>
      <c r="K82" s="40">
        <v>388900</v>
      </c>
      <c r="L82" s="45">
        <v>50.2166666667</v>
      </c>
      <c r="M82" s="41">
        <v>1</v>
      </c>
      <c r="N82" s="32">
        <f>Rådatakommune[[#This Row],[B15-O]]/Rådatakommune[[#This Row],[Totalareal2015-O]]</f>
        <v>30.849095394736846</v>
      </c>
      <c r="O82" s="34">
        <f>Rådatakommune[[#This Row],[B15-O]]/Rådatakommune[[#This Row],[B05-O]]-1</f>
        <v>5.8553791887125284E-2</v>
      </c>
      <c r="P82" s="34">
        <f>Rådatakommune[[#This Row],[Kvinner20-39-O]]/Rådatakommune[[#This Row],[B15-O]]</f>
        <v>0.11718316116849939</v>
      </c>
      <c r="Q82" s="34">
        <f>Rådatakommune[[#This Row],[Eldre67+-O]]/Rådatakommune[[#This Row],[B15-O]]</f>
        <v>0.13595468177274242</v>
      </c>
      <c r="R82" s="34">
        <f>Rådatakommune[[#This Row],[S14-O]]/Rådatakommune[[#This Row],[S04-O]]-1</f>
        <v>9.4831673779038894E-4</v>
      </c>
      <c r="S82" s="34">
        <f>Rådatakommune[[#This Row],[Y14-O]]/Rådatakommune[[#This Row],[Folk20-64-O]]</f>
        <v>0.86884629838406613</v>
      </c>
    </row>
    <row r="83" spans="1:19" x14ac:dyDescent="0.25">
      <c r="A83" s="2" t="s">
        <v>81</v>
      </c>
      <c r="B83" s="37">
        <v>13010</v>
      </c>
      <c r="C83" s="36">
        <v>13685</v>
      </c>
      <c r="D83" s="33">
        <v>6814</v>
      </c>
      <c r="E83" s="38">
        <v>2311</v>
      </c>
      <c r="F83" s="39">
        <v>1461</v>
      </c>
      <c r="G83">
        <v>7814</v>
      </c>
      <c r="H83" s="33">
        <v>5501</v>
      </c>
      <c r="I83" s="33">
        <v>6208</v>
      </c>
      <c r="J83" s="5">
        <v>756.65</v>
      </c>
      <c r="K83" s="40">
        <v>369600</v>
      </c>
      <c r="L83" s="45">
        <v>61.583333333299997</v>
      </c>
      <c r="M83" s="41">
        <v>1</v>
      </c>
      <c r="N83" s="32">
        <f>Rådatakommune[[#This Row],[B15-O]]/Rådatakommune[[#This Row],[Totalareal2015-O]]</f>
        <v>18.08630146038459</v>
      </c>
      <c r="O83" s="34">
        <f>Rådatakommune[[#This Row],[B15-O]]/Rådatakommune[[#This Row],[B05-O]]-1</f>
        <v>5.1883166794773228E-2</v>
      </c>
      <c r="P83" s="34">
        <f>Rådatakommune[[#This Row],[Kvinner20-39-O]]/Rådatakommune[[#This Row],[B15-O]]</f>
        <v>0.10675922542930216</v>
      </c>
      <c r="Q83" s="34">
        <f>Rådatakommune[[#This Row],[Eldre67+-O]]/Rådatakommune[[#This Row],[B15-O]]</f>
        <v>0.16887102667153819</v>
      </c>
      <c r="R83" s="34">
        <f>Rådatakommune[[#This Row],[S14-O]]/Rådatakommune[[#This Row],[S04-O]]-1</f>
        <v>0.12852208689329214</v>
      </c>
      <c r="S83" s="34">
        <f>Rådatakommune[[#This Row],[Y14-O]]/Rådatakommune[[#This Row],[Folk20-64-O]]</f>
        <v>0.87202457128231381</v>
      </c>
    </row>
    <row r="84" spans="1:19" x14ac:dyDescent="0.25">
      <c r="A84" s="2" t="s">
        <v>82</v>
      </c>
      <c r="B84" s="37">
        <v>6008</v>
      </c>
      <c r="C84" s="36">
        <v>5772</v>
      </c>
      <c r="D84" s="33">
        <v>2641</v>
      </c>
      <c r="E84" s="38">
        <v>1015</v>
      </c>
      <c r="F84" s="39">
        <v>549</v>
      </c>
      <c r="G84">
        <v>3346</v>
      </c>
      <c r="H84" s="33">
        <v>1863</v>
      </c>
      <c r="I84" s="33">
        <v>1694</v>
      </c>
      <c r="J84" s="5">
        <v>728.36</v>
      </c>
      <c r="K84" s="40">
        <v>322400</v>
      </c>
      <c r="L84" s="45">
        <v>97.383333333300001</v>
      </c>
      <c r="M84" s="41">
        <v>4</v>
      </c>
      <c r="N84" s="32">
        <f>Rådatakommune[[#This Row],[B15-O]]/Rådatakommune[[#This Row],[Totalareal2015-O]]</f>
        <v>7.924652644296776</v>
      </c>
      <c r="O84" s="34">
        <f>Rådatakommune[[#This Row],[B15-O]]/Rådatakommune[[#This Row],[B05-O]]-1</f>
        <v>-3.928095872170434E-2</v>
      </c>
      <c r="P84" s="34">
        <f>Rådatakommune[[#This Row],[Kvinner20-39-O]]/Rådatakommune[[#This Row],[B15-O]]</f>
        <v>9.511434511434512E-2</v>
      </c>
      <c r="Q84" s="34">
        <f>Rådatakommune[[#This Row],[Eldre67+-O]]/Rådatakommune[[#This Row],[B15-O]]</f>
        <v>0.17584892584892584</v>
      </c>
      <c r="R84" s="34">
        <f>Rådatakommune[[#This Row],[S14-O]]/Rådatakommune[[#This Row],[S04-O]]-1</f>
        <v>-9.0713902308105165E-2</v>
      </c>
      <c r="S84" s="34">
        <f>Rådatakommune[[#This Row],[Y14-O]]/Rådatakommune[[#This Row],[Folk20-64-O]]</f>
        <v>0.78930065750149436</v>
      </c>
    </row>
    <row r="85" spans="1:19" x14ac:dyDescent="0.25">
      <c r="A85" s="2" t="s">
        <v>83</v>
      </c>
      <c r="B85" s="37">
        <v>6847</v>
      </c>
      <c r="C85" s="36">
        <v>6740</v>
      </c>
      <c r="D85" s="33">
        <v>3260</v>
      </c>
      <c r="E85" s="38">
        <v>1264</v>
      </c>
      <c r="F85" s="39">
        <v>682</v>
      </c>
      <c r="G85">
        <v>3810</v>
      </c>
      <c r="H85" s="33">
        <v>2713</v>
      </c>
      <c r="I85" s="33">
        <v>2952</v>
      </c>
      <c r="J85" s="5">
        <v>955.31000000000006</v>
      </c>
      <c r="K85" s="40">
        <v>328500</v>
      </c>
      <c r="L85" s="45">
        <v>119.9</v>
      </c>
      <c r="M85" s="41">
        <v>4</v>
      </c>
      <c r="N85" s="32">
        <f>Rådatakommune[[#This Row],[B15-O]]/Rådatakommune[[#This Row],[Totalareal2015-O]]</f>
        <v>7.0553014204813094</v>
      </c>
      <c r="O85" s="34">
        <f>Rådatakommune[[#This Row],[B15-O]]/Rådatakommune[[#This Row],[B05-O]]-1</f>
        <v>-1.5627282021323241E-2</v>
      </c>
      <c r="P85" s="34">
        <f>Rådatakommune[[#This Row],[Kvinner20-39-O]]/Rådatakommune[[#This Row],[B15-O]]</f>
        <v>0.10118694362017804</v>
      </c>
      <c r="Q85" s="34">
        <f>Rådatakommune[[#This Row],[Eldre67+-O]]/Rådatakommune[[#This Row],[B15-O]]</f>
        <v>0.18753709198813057</v>
      </c>
      <c r="R85" s="34">
        <f>Rådatakommune[[#This Row],[S14-O]]/Rådatakommune[[#This Row],[S04-O]]-1</f>
        <v>8.8094360486546286E-2</v>
      </c>
      <c r="S85" s="34">
        <f>Rådatakommune[[#This Row],[Y14-O]]/Rådatakommune[[#This Row],[Folk20-64-O]]</f>
        <v>0.85564304461942253</v>
      </c>
    </row>
    <row r="86" spans="1:19" x14ac:dyDescent="0.25">
      <c r="A86" s="2" t="s">
        <v>84</v>
      </c>
      <c r="B86" s="37">
        <v>3265</v>
      </c>
      <c r="C86" s="36">
        <v>3094</v>
      </c>
      <c r="D86" s="33">
        <v>1568</v>
      </c>
      <c r="E86" s="38">
        <v>633</v>
      </c>
      <c r="F86" s="39">
        <v>287</v>
      </c>
      <c r="G86">
        <v>1665</v>
      </c>
      <c r="H86" s="33">
        <v>1184</v>
      </c>
      <c r="I86" s="33">
        <v>1291</v>
      </c>
      <c r="J86" s="5">
        <v>1109.04</v>
      </c>
      <c r="K86" s="40">
        <v>334100</v>
      </c>
      <c r="L86" s="45">
        <v>122.833333333</v>
      </c>
      <c r="M86" s="41">
        <v>10</v>
      </c>
      <c r="N86" s="32">
        <f>Rådatakommune[[#This Row],[B15-O]]/Rådatakommune[[#This Row],[Totalareal2015-O]]</f>
        <v>2.7898001875495924</v>
      </c>
      <c r="O86" s="34">
        <f>Rådatakommune[[#This Row],[B15-O]]/Rådatakommune[[#This Row],[B05-O]]-1</f>
        <v>-5.2373660030627822E-2</v>
      </c>
      <c r="P86" s="34">
        <f>Rådatakommune[[#This Row],[Kvinner20-39-O]]/Rådatakommune[[#This Row],[B15-O]]</f>
        <v>9.2760180995475117E-2</v>
      </c>
      <c r="Q86" s="34">
        <f>Rådatakommune[[#This Row],[Eldre67+-O]]/Rådatakommune[[#This Row],[B15-O]]</f>
        <v>0.20458952811893988</v>
      </c>
      <c r="R86" s="34">
        <f>Rådatakommune[[#This Row],[S14-O]]/Rådatakommune[[#This Row],[S04-O]]-1</f>
        <v>9.0371621621621712E-2</v>
      </c>
      <c r="S86" s="34">
        <f>Rådatakommune[[#This Row],[Y14-O]]/Rådatakommune[[#This Row],[Folk20-64-O]]</f>
        <v>0.94174174174174174</v>
      </c>
    </row>
    <row r="87" spans="1:19" x14ac:dyDescent="0.25">
      <c r="A87" s="2" t="s">
        <v>85</v>
      </c>
      <c r="B87" s="37">
        <v>1397</v>
      </c>
      <c r="C87" s="36">
        <v>1402</v>
      </c>
      <c r="D87" s="33">
        <v>656</v>
      </c>
      <c r="E87" s="38">
        <v>301</v>
      </c>
      <c r="F87" s="39">
        <v>124</v>
      </c>
      <c r="G87">
        <v>785</v>
      </c>
      <c r="H87" s="33">
        <v>573</v>
      </c>
      <c r="I87" s="33">
        <v>506</v>
      </c>
      <c r="J87" s="5">
        <v>459.15</v>
      </c>
      <c r="K87" s="40">
        <v>286000</v>
      </c>
      <c r="L87" s="45">
        <v>131.26666666700001</v>
      </c>
      <c r="M87" s="41">
        <v>5</v>
      </c>
      <c r="N87" s="32">
        <f>Rådatakommune[[#This Row],[B15-O]]/Rådatakommune[[#This Row],[Totalareal2015-O]]</f>
        <v>3.0534683654579116</v>
      </c>
      <c r="O87" s="34">
        <f>Rådatakommune[[#This Row],[B15-O]]/Rådatakommune[[#This Row],[B05-O]]-1</f>
        <v>3.5790980672869566E-3</v>
      </c>
      <c r="P87" s="34">
        <f>Rådatakommune[[#This Row],[Kvinner20-39-O]]/Rådatakommune[[#This Row],[B15-O]]</f>
        <v>8.8445078459343796E-2</v>
      </c>
      <c r="Q87" s="34">
        <f>Rådatakommune[[#This Row],[Eldre67+-O]]/Rådatakommune[[#This Row],[B15-O]]</f>
        <v>0.21469329529243938</v>
      </c>
      <c r="R87" s="34">
        <f>Rådatakommune[[#This Row],[S14-O]]/Rådatakommune[[#This Row],[S04-O]]-1</f>
        <v>-0.1169284467713787</v>
      </c>
      <c r="S87" s="34">
        <f>Rådatakommune[[#This Row],[Y14-O]]/Rådatakommune[[#This Row],[Folk20-64-O]]</f>
        <v>0.83566878980891723</v>
      </c>
    </row>
    <row r="88" spans="1:19" x14ac:dyDescent="0.25">
      <c r="A88" s="2" t="s">
        <v>86</v>
      </c>
      <c r="B88" s="37">
        <v>6442</v>
      </c>
      <c r="C88" s="36">
        <v>6466</v>
      </c>
      <c r="D88" s="33">
        <v>3468</v>
      </c>
      <c r="E88" s="38">
        <v>1123</v>
      </c>
      <c r="F88" s="39">
        <v>729</v>
      </c>
      <c r="G88">
        <v>3727</v>
      </c>
      <c r="H88" s="33">
        <v>3905</v>
      </c>
      <c r="I88" s="33">
        <v>3971</v>
      </c>
      <c r="J88" s="5">
        <v>906.53</v>
      </c>
      <c r="K88" s="40">
        <v>350800</v>
      </c>
      <c r="L88" s="45">
        <v>138.65</v>
      </c>
      <c r="M88" s="41">
        <v>10</v>
      </c>
      <c r="N88" s="32">
        <f>Rådatakommune[[#This Row],[B15-O]]/Rådatakommune[[#This Row],[Totalareal2015-O]]</f>
        <v>7.1326927956052204</v>
      </c>
      <c r="O88" s="34">
        <f>Rådatakommune[[#This Row],[B15-O]]/Rådatakommune[[#This Row],[B05-O]]-1</f>
        <v>3.725551071095845E-3</v>
      </c>
      <c r="P88" s="34">
        <f>Rådatakommune[[#This Row],[Kvinner20-39-O]]/Rådatakommune[[#This Row],[B15-O]]</f>
        <v>0.112743581812558</v>
      </c>
      <c r="Q88" s="34">
        <f>Rådatakommune[[#This Row],[Eldre67+-O]]/Rådatakommune[[#This Row],[B15-O]]</f>
        <v>0.17367769873182803</v>
      </c>
      <c r="R88" s="34">
        <f>Rådatakommune[[#This Row],[S14-O]]/Rådatakommune[[#This Row],[S04-O]]-1</f>
        <v>1.6901408450704203E-2</v>
      </c>
      <c r="S88" s="34">
        <f>Rådatakommune[[#This Row],[Y14-O]]/Rådatakommune[[#This Row],[Folk20-64-O]]</f>
        <v>0.93050711027636168</v>
      </c>
    </row>
    <row r="89" spans="1:19" x14ac:dyDescent="0.25">
      <c r="A89" s="2" t="s">
        <v>87</v>
      </c>
      <c r="B89" s="37">
        <v>2245</v>
      </c>
      <c r="C89" s="36">
        <v>2180</v>
      </c>
      <c r="D89" s="33">
        <v>1179</v>
      </c>
      <c r="E89" s="38">
        <v>393</v>
      </c>
      <c r="F89" s="39">
        <v>207</v>
      </c>
      <c r="G89">
        <v>1231</v>
      </c>
      <c r="H89" s="33">
        <v>938</v>
      </c>
      <c r="I89" s="33">
        <v>974</v>
      </c>
      <c r="J89" s="5">
        <v>463.25</v>
      </c>
      <c r="K89" s="40">
        <v>344000</v>
      </c>
      <c r="L89" s="45">
        <v>158.05000000000001</v>
      </c>
      <c r="M89" s="41">
        <v>10</v>
      </c>
      <c r="N89" s="32">
        <f>Rådatakommune[[#This Row],[B15-O]]/Rådatakommune[[#This Row],[Totalareal2015-O]]</f>
        <v>4.7058823529411766</v>
      </c>
      <c r="O89" s="34">
        <f>Rådatakommune[[#This Row],[B15-O]]/Rådatakommune[[#This Row],[B05-O]]-1</f>
        <v>-2.8953229398663738E-2</v>
      </c>
      <c r="P89" s="34">
        <f>Rådatakommune[[#This Row],[Kvinner20-39-O]]/Rådatakommune[[#This Row],[B15-O]]</f>
        <v>9.4954128440366978E-2</v>
      </c>
      <c r="Q89" s="34">
        <f>Rådatakommune[[#This Row],[Eldre67+-O]]/Rådatakommune[[#This Row],[B15-O]]</f>
        <v>0.18027522935779816</v>
      </c>
      <c r="R89" s="34">
        <f>Rådatakommune[[#This Row],[S14-O]]/Rådatakommune[[#This Row],[S04-O]]-1</f>
        <v>3.8379530916844429E-2</v>
      </c>
      <c r="S89" s="34">
        <f>Rådatakommune[[#This Row],[Y14-O]]/Rådatakommune[[#This Row],[Folk20-64-O]]</f>
        <v>0.95775792038992691</v>
      </c>
    </row>
    <row r="90" spans="1:19" x14ac:dyDescent="0.25">
      <c r="A90" s="2" t="s">
        <v>88</v>
      </c>
      <c r="B90" s="37">
        <v>3114</v>
      </c>
      <c r="C90" s="36">
        <v>3199</v>
      </c>
      <c r="D90" s="33">
        <v>1813</v>
      </c>
      <c r="E90" s="38">
        <v>576</v>
      </c>
      <c r="F90" s="39">
        <v>360</v>
      </c>
      <c r="G90">
        <v>1843</v>
      </c>
      <c r="H90" s="33">
        <v>1382</v>
      </c>
      <c r="I90" s="33">
        <v>1375</v>
      </c>
      <c r="J90" s="5">
        <v>963.11</v>
      </c>
      <c r="K90" s="40">
        <v>360400</v>
      </c>
      <c r="L90" s="45">
        <v>153.5</v>
      </c>
      <c r="M90" s="41">
        <v>10</v>
      </c>
      <c r="N90" s="32">
        <f>Rådatakommune[[#This Row],[B15-O]]/Rådatakommune[[#This Row],[Totalareal2015-O]]</f>
        <v>3.321531289260832</v>
      </c>
      <c r="O90" s="34">
        <f>Rådatakommune[[#This Row],[B15-O]]/Rådatakommune[[#This Row],[B05-O]]-1</f>
        <v>2.7296082209377071E-2</v>
      </c>
      <c r="P90" s="34">
        <f>Rådatakommune[[#This Row],[Kvinner20-39-O]]/Rådatakommune[[#This Row],[B15-O]]</f>
        <v>0.11253516723976242</v>
      </c>
      <c r="Q90" s="34">
        <f>Rådatakommune[[#This Row],[Eldre67+-O]]/Rådatakommune[[#This Row],[B15-O]]</f>
        <v>0.18005626758361989</v>
      </c>
      <c r="R90" s="34">
        <f>Rådatakommune[[#This Row],[S14-O]]/Rådatakommune[[#This Row],[S04-O]]-1</f>
        <v>-5.0651230101302902E-3</v>
      </c>
      <c r="S90" s="34">
        <f>Rådatakommune[[#This Row],[Y14-O]]/Rådatakommune[[#This Row],[Folk20-64-O]]</f>
        <v>0.98372219207813349</v>
      </c>
    </row>
    <row r="91" spans="1:19" x14ac:dyDescent="0.25">
      <c r="A91" s="2" t="s">
        <v>89</v>
      </c>
      <c r="B91" s="37">
        <v>1613</v>
      </c>
      <c r="C91" s="36">
        <v>1619</v>
      </c>
      <c r="D91" s="33">
        <v>847</v>
      </c>
      <c r="E91" s="38">
        <v>302</v>
      </c>
      <c r="F91" s="39">
        <v>174</v>
      </c>
      <c r="G91">
        <v>933</v>
      </c>
      <c r="H91" s="33">
        <v>698</v>
      </c>
      <c r="I91" s="33">
        <v>758</v>
      </c>
      <c r="J91" s="5">
        <v>1505.4499999999998</v>
      </c>
      <c r="K91" s="40">
        <v>317500</v>
      </c>
      <c r="L91" s="45">
        <v>181</v>
      </c>
      <c r="M91" s="41">
        <v>10</v>
      </c>
      <c r="N91" s="32">
        <f>Rådatakommune[[#This Row],[B15-O]]/Rådatakommune[[#This Row],[Totalareal2015-O]]</f>
        <v>1.0754259523730447</v>
      </c>
      <c r="O91" s="34">
        <f>Rådatakommune[[#This Row],[B15-O]]/Rådatakommune[[#This Row],[B05-O]]-1</f>
        <v>3.7197768133911957E-3</v>
      </c>
      <c r="P91" s="34">
        <f>Rådatakommune[[#This Row],[Kvinner20-39-O]]/Rådatakommune[[#This Row],[B15-O]]</f>
        <v>0.10747374922791847</v>
      </c>
      <c r="Q91" s="34">
        <f>Rådatakommune[[#This Row],[Eldre67+-O]]/Rådatakommune[[#This Row],[B15-O]]</f>
        <v>0.18653489808523779</v>
      </c>
      <c r="R91" s="34">
        <f>Rådatakommune[[#This Row],[S14-O]]/Rådatakommune[[#This Row],[S04-O]]-1</f>
        <v>8.5959885386819535E-2</v>
      </c>
      <c r="S91" s="34">
        <f>Rådatakommune[[#This Row],[Y14-O]]/Rådatakommune[[#This Row],[Folk20-64-O]]</f>
        <v>0.90782422293676313</v>
      </c>
    </row>
    <row r="92" spans="1:19" x14ac:dyDescent="0.25">
      <c r="A92" s="2" t="s">
        <v>90</v>
      </c>
      <c r="B92" s="37">
        <v>57148</v>
      </c>
      <c r="C92" s="36">
        <v>67016</v>
      </c>
      <c r="D92" s="33">
        <v>32985</v>
      </c>
      <c r="E92" s="38">
        <v>9878</v>
      </c>
      <c r="F92" s="39">
        <v>9100</v>
      </c>
      <c r="G92">
        <v>39972</v>
      </c>
      <c r="H92" s="33">
        <v>32040</v>
      </c>
      <c r="I92" s="33">
        <v>36817</v>
      </c>
      <c r="J92" s="5">
        <v>137.01</v>
      </c>
      <c r="K92" s="40">
        <v>400200</v>
      </c>
      <c r="L92" s="45">
        <v>30.4</v>
      </c>
      <c r="M92" s="41">
        <v>2</v>
      </c>
      <c r="N92" s="32">
        <f>Rådatakommune[[#This Row],[B15-O]]/Rådatakommune[[#This Row],[Totalareal2015-O]]</f>
        <v>489.13218013283705</v>
      </c>
      <c r="O92" s="34">
        <f>Rådatakommune[[#This Row],[B15-O]]/Rådatakommune[[#This Row],[B05-O]]-1</f>
        <v>0.1726744592986631</v>
      </c>
      <c r="P92" s="34">
        <f>Rådatakommune[[#This Row],[Kvinner20-39-O]]/Rådatakommune[[#This Row],[B15-O]]</f>
        <v>0.13578846842545064</v>
      </c>
      <c r="Q92" s="34">
        <f>Rådatakommune[[#This Row],[Eldre67+-O]]/Rådatakommune[[#This Row],[B15-O]]</f>
        <v>0.14739763638534081</v>
      </c>
      <c r="R92" s="34">
        <f>Rådatakommune[[#This Row],[S14-O]]/Rådatakommune[[#This Row],[S04-O]]-1</f>
        <v>0.14909488139825222</v>
      </c>
      <c r="S92" s="34">
        <f>Rådatakommune[[#This Row],[Y14-O]]/Rådatakommune[[#This Row],[Folk20-64-O]]</f>
        <v>0.82520264184929448</v>
      </c>
    </row>
    <row r="93" spans="1:19" x14ac:dyDescent="0.25">
      <c r="A93" s="2" t="s">
        <v>91</v>
      </c>
      <c r="B93" s="37">
        <v>23244</v>
      </c>
      <c r="C93" s="36">
        <v>26711</v>
      </c>
      <c r="D93" s="33">
        <v>13859</v>
      </c>
      <c r="E93" s="38">
        <v>3946</v>
      </c>
      <c r="F93" s="39">
        <v>3289</v>
      </c>
      <c r="G93">
        <v>15797</v>
      </c>
      <c r="H93" s="33">
        <v>13178</v>
      </c>
      <c r="I93" s="33">
        <v>16666</v>
      </c>
      <c r="J93" s="5">
        <v>793.09</v>
      </c>
      <c r="K93" s="40">
        <v>441700</v>
      </c>
      <c r="L93" s="45">
        <v>59.083333333299997</v>
      </c>
      <c r="M93" s="41">
        <v>5</v>
      </c>
      <c r="N93" s="32">
        <f>Rådatakommune[[#This Row],[B15-O]]/Rådatakommune[[#This Row],[Totalareal2015-O]]</f>
        <v>33.679658046375565</v>
      </c>
      <c r="O93" s="34">
        <f>Rådatakommune[[#This Row],[B15-O]]/Rådatakommune[[#This Row],[B05-O]]-1</f>
        <v>0.14915677163999308</v>
      </c>
      <c r="P93" s="34">
        <f>Rådatakommune[[#This Row],[Kvinner20-39-O]]/Rådatakommune[[#This Row],[B15-O]]</f>
        <v>0.12313279173374266</v>
      </c>
      <c r="Q93" s="34">
        <f>Rådatakommune[[#This Row],[Eldre67+-O]]/Rådatakommune[[#This Row],[B15-O]]</f>
        <v>0.14772939987271161</v>
      </c>
      <c r="R93" s="34">
        <f>Rådatakommune[[#This Row],[S14-O]]/Rådatakommune[[#This Row],[S04-O]]-1</f>
        <v>0.26468356351494915</v>
      </c>
      <c r="S93" s="34">
        <f>Rådatakommune[[#This Row],[Y14-O]]/Rådatakommune[[#This Row],[Folk20-64-O]]</f>
        <v>0.87731847819206177</v>
      </c>
    </row>
    <row r="94" spans="1:19" x14ac:dyDescent="0.25">
      <c r="A94" s="2" t="s">
        <v>92</v>
      </c>
      <c r="B94" s="37">
        <v>28079</v>
      </c>
      <c r="C94" s="36">
        <v>29712</v>
      </c>
      <c r="D94" s="33">
        <v>14929</v>
      </c>
      <c r="E94" s="38">
        <v>4834</v>
      </c>
      <c r="F94" s="39">
        <v>3528</v>
      </c>
      <c r="G94">
        <v>17600</v>
      </c>
      <c r="H94" s="33">
        <v>13364</v>
      </c>
      <c r="I94" s="33">
        <v>13784</v>
      </c>
      <c r="J94" s="5">
        <v>1555.08</v>
      </c>
      <c r="K94" s="40">
        <v>369100</v>
      </c>
      <c r="L94" s="45">
        <v>47.05</v>
      </c>
      <c r="M94" s="41">
        <v>5</v>
      </c>
      <c r="N94" s="32">
        <f>Rådatakommune[[#This Row],[B15-O]]/Rådatakommune[[#This Row],[Totalareal2015-O]]</f>
        <v>19.106412531831161</v>
      </c>
      <c r="O94" s="34">
        <f>Rådatakommune[[#This Row],[B15-O]]/Rådatakommune[[#This Row],[B05-O]]-1</f>
        <v>5.815734178567622E-2</v>
      </c>
      <c r="P94" s="34">
        <f>Rådatakommune[[#This Row],[Kvinner20-39-O]]/Rådatakommune[[#This Row],[B15-O]]</f>
        <v>0.11873990306946688</v>
      </c>
      <c r="Q94" s="34">
        <f>Rådatakommune[[#This Row],[Eldre67+-O]]/Rådatakommune[[#This Row],[B15-O]]</f>
        <v>0.16269520732364029</v>
      </c>
      <c r="R94" s="34">
        <f>Rådatakommune[[#This Row],[S14-O]]/Rådatakommune[[#This Row],[S04-O]]-1</f>
        <v>3.1427716252619087E-2</v>
      </c>
      <c r="S94" s="34">
        <f>Rådatakommune[[#This Row],[Y14-O]]/Rådatakommune[[#This Row],[Folk20-64-O]]</f>
        <v>0.84823863636363639</v>
      </c>
    </row>
    <row r="95" spans="1:19" x14ac:dyDescent="0.25">
      <c r="A95" s="2" t="s">
        <v>93</v>
      </c>
      <c r="B95" s="37">
        <v>5229</v>
      </c>
      <c r="C95" s="36">
        <v>6698</v>
      </c>
      <c r="D95" s="33">
        <v>3448</v>
      </c>
      <c r="E95" s="38">
        <v>912</v>
      </c>
      <c r="F95" s="39">
        <v>798</v>
      </c>
      <c r="G95">
        <v>3967</v>
      </c>
      <c r="H95" s="33">
        <v>1754</v>
      </c>
      <c r="I95" s="33">
        <v>2224</v>
      </c>
      <c r="J95" s="5">
        <v>192.7</v>
      </c>
      <c r="K95" s="40">
        <v>443200</v>
      </c>
      <c r="L95" s="45">
        <v>37.049999999999997</v>
      </c>
      <c r="M95" s="41">
        <v>5</v>
      </c>
      <c r="N95" s="32">
        <f>Rådatakommune[[#This Row],[B15-O]]/Rådatakommune[[#This Row],[Totalareal2015-O]]</f>
        <v>34.758692267773746</v>
      </c>
      <c r="O95" s="34">
        <f>Rådatakommune[[#This Row],[B15-O]]/Rådatakommune[[#This Row],[B05-O]]-1</f>
        <v>0.2809332568368712</v>
      </c>
      <c r="P95" s="34">
        <f>Rådatakommune[[#This Row],[Kvinner20-39-O]]/Rådatakommune[[#This Row],[B15-O]]</f>
        <v>0.11914004180352344</v>
      </c>
      <c r="Q95" s="34">
        <f>Rådatakommune[[#This Row],[Eldre67+-O]]/Rådatakommune[[#This Row],[B15-O]]</f>
        <v>0.13616004777545537</v>
      </c>
      <c r="R95" s="34">
        <f>Rådatakommune[[#This Row],[S14-O]]/Rådatakommune[[#This Row],[S04-O]]-1</f>
        <v>0.26795895096921329</v>
      </c>
      <c r="S95" s="34">
        <f>Rådatakommune[[#This Row],[Y14-O]]/Rådatakommune[[#This Row],[Folk20-64-O]]</f>
        <v>0.86917065792790527</v>
      </c>
    </row>
    <row r="96" spans="1:19" x14ac:dyDescent="0.25">
      <c r="A96" s="2" t="s">
        <v>94</v>
      </c>
      <c r="B96" s="37">
        <v>1014</v>
      </c>
      <c r="C96" s="36">
        <v>1033</v>
      </c>
      <c r="D96" s="33">
        <v>530</v>
      </c>
      <c r="E96" s="38">
        <v>222</v>
      </c>
      <c r="F96" s="39">
        <v>100</v>
      </c>
      <c r="G96">
        <v>581</v>
      </c>
      <c r="H96" s="33">
        <v>357</v>
      </c>
      <c r="I96" s="33">
        <v>456</v>
      </c>
      <c r="J96" s="5">
        <v>704.41000000000008</v>
      </c>
      <c r="K96" s="40">
        <v>364800</v>
      </c>
      <c r="L96" s="45">
        <v>92.333333333300004</v>
      </c>
      <c r="M96" s="41">
        <v>8</v>
      </c>
      <c r="N96" s="32">
        <f>Rådatakommune[[#This Row],[B15-O]]/Rådatakommune[[#This Row],[Totalareal2015-O]]</f>
        <v>1.4664754901264887</v>
      </c>
      <c r="O96" s="34">
        <f>Rådatakommune[[#This Row],[B15-O]]/Rådatakommune[[#This Row],[B05-O]]-1</f>
        <v>1.8737672583826415E-2</v>
      </c>
      <c r="P96" s="34">
        <f>Rådatakommune[[#This Row],[Kvinner20-39-O]]/Rådatakommune[[#This Row],[B15-O]]</f>
        <v>9.6805421103581799E-2</v>
      </c>
      <c r="Q96" s="34">
        <f>Rådatakommune[[#This Row],[Eldre67+-O]]/Rådatakommune[[#This Row],[B15-O]]</f>
        <v>0.21490803484995161</v>
      </c>
      <c r="R96" s="34">
        <f>Rådatakommune[[#This Row],[S14-O]]/Rådatakommune[[#This Row],[S04-O]]-1</f>
        <v>0.2773109243697478</v>
      </c>
      <c r="S96" s="34">
        <f>Rådatakommune[[#This Row],[Y14-O]]/Rådatakommune[[#This Row],[Folk20-64-O]]</f>
        <v>0.91222030981067126</v>
      </c>
    </row>
    <row r="97" spans="1:19" x14ac:dyDescent="0.25">
      <c r="A97" s="2" t="s">
        <v>95</v>
      </c>
      <c r="B97" s="37">
        <v>3485</v>
      </c>
      <c r="C97" s="36">
        <v>3414</v>
      </c>
      <c r="D97" s="33">
        <v>1754</v>
      </c>
      <c r="E97" s="38">
        <v>654</v>
      </c>
      <c r="F97" s="39">
        <v>353</v>
      </c>
      <c r="G97">
        <v>1963</v>
      </c>
      <c r="H97" s="33">
        <v>1484</v>
      </c>
      <c r="I97" s="33">
        <v>1397</v>
      </c>
      <c r="J97" s="5">
        <v>809.67</v>
      </c>
      <c r="K97" s="40">
        <v>352900</v>
      </c>
      <c r="L97" s="45">
        <v>117.633333333</v>
      </c>
      <c r="M97" s="41">
        <v>8</v>
      </c>
      <c r="N97" s="32">
        <f>Rådatakommune[[#This Row],[B15-O]]/Rådatakommune[[#This Row],[Totalareal2015-O]]</f>
        <v>4.216532661454667</v>
      </c>
      <c r="O97" s="34">
        <f>Rådatakommune[[#This Row],[B15-O]]/Rådatakommune[[#This Row],[B05-O]]-1</f>
        <v>-2.0373027259684373E-2</v>
      </c>
      <c r="P97" s="34">
        <f>Rådatakommune[[#This Row],[Kvinner20-39-O]]/Rådatakommune[[#This Row],[B15-O]]</f>
        <v>0.10339777387229057</v>
      </c>
      <c r="Q97" s="34">
        <f>Rådatakommune[[#This Row],[Eldre67+-O]]/Rådatakommune[[#This Row],[B15-O]]</f>
        <v>0.19156414762741653</v>
      </c>
      <c r="R97" s="34">
        <f>Rådatakommune[[#This Row],[S14-O]]/Rådatakommune[[#This Row],[S04-O]]-1</f>
        <v>-5.8625336927223715E-2</v>
      </c>
      <c r="S97" s="34">
        <f>Rådatakommune[[#This Row],[Y14-O]]/Rådatakommune[[#This Row],[Folk20-64-O]]</f>
        <v>0.89353031074885381</v>
      </c>
    </row>
    <row r="98" spans="1:19" x14ac:dyDescent="0.25">
      <c r="A98" s="2" t="s">
        <v>96</v>
      </c>
      <c r="B98" s="37">
        <v>4375</v>
      </c>
      <c r="C98" s="36">
        <v>4588</v>
      </c>
      <c r="D98" s="33">
        <v>2497</v>
      </c>
      <c r="E98" s="38">
        <v>816</v>
      </c>
      <c r="F98" s="39">
        <v>488</v>
      </c>
      <c r="G98">
        <v>2579</v>
      </c>
      <c r="H98" s="33">
        <v>2807</v>
      </c>
      <c r="I98" s="33">
        <v>2902</v>
      </c>
      <c r="J98" s="5">
        <v>532.49</v>
      </c>
      <c r="K98" s="40">
        <v>370000</v>
      </c>
      <c r="L98" s="45">
        <v>134.19999999999999</v>
      </c>
      <c r="M98" s="41">
        <v>8</v>
      </c>
      <c r="N98" s="32">
        <f>Rådatakommune[[#This Row],[B15-O]]/Rådatakommune[[#This Row],[Totalareal2015-O]]</f>
        <v>8.6161242464647216</v>
      </c>
      <c r="O98" s="34">
        <f>Rådatakommune[[#This Row],[B15-O]]/Rådatakommune[[#This Row],[B05-O]]-1</f>
        <v>4.8685714285714221E-2</v>
      </c>
      <c r="P98" s="34">
        <f>Rådatakommune[[#This Row],[Kvinner20-39-O]]/Rådatakommune[[#This Row],[B15-O]]</f>
        <v>0.10636442894507411</v>
      </c>
      <c r="Q98" s="34">
        <f>Rådatakommune[[#This Row],[Eldre67+-O]]/Rådatakommune[[#This Row],[B15-O]]</f>
        <v>0.17785527462946818</v>
      </c>
      <c r="R98" s="34">
        <f>Rådatakommune[[#This Row],[S14-O]]/Rådatakommune[[#This Row],[S04-O]]-1</f>
        <v>3.3843961524759436E-2</v>
      </c>
      <c r="S98" s="34">
        <f>Rådatakommune[[#This Row],[Y14-O]]/Rådatakommune[[#This Row],[Folk20-64-O]]</f>
        <v>0.96820473051570377</v>
      </c>
    </row>
    <row r="99" spans="1:19" x14ac:dyDescent="0.25">
      <c r="A99" s="2" t="s">
        <v>97</v>
      </c>
      <c r="B99" s="37">
        <v>1909</v>
      </c>
      <c r="C99" s="36">
        <v>2344</v>
      </c>
      <c r="D99" s="33">
        <v>1315</v>
      </c>
      <c r="E99" s="38">
        <v>298</v>
      </c>
      <c r="F99" s="39">
        <v>306</v>
      </c>
      <c r="G99">
        <v>1424</v>
      </c>
      <c r="H99" s="33">
        <v>943</v>
      </c>
      <c r="I99" s="33">
        <v>1109</v>
      </c>
      <c r="J99" s="5">
        <v>753.54</v>
      </c>
      <c r="K99" s="40">
        <v>383000</v>
      </c>
      <c r="L99" s="45">
        <v>158.98333333299999</v>
      </c>
      <c r="M99" s="41">
        <v>8</v>
      </c>
      <c r="N99" s="32">
        <f>Rådatakommune[[#This Row],[B15-O]]/Rådatakommune[[#This Row],[Totalareal2015-O]]</f>
        <v>3.1106510603285824</v>
      </c>
      <c r="O99" s="34">
        <f>Rådatakommune[[#This Row],[B15-O]]/Rådatakommune[[#This Row],[B05-O]]-1</f>
        <v>0.22786799371398647</v>
      </c>
      <c r="P99" s="34">
        <f>Rådatakommune[[#This Row],[Kvinner20-39-O]]/Rådatakommune[[#This Row],[B15-O]]</f>
        <v>0.13054607508532423</v>
      </c>
      <c r="Q99" s="34">
        <f>Rådatakommune[[#This Row],[Eldre67+-O]]/Rådatakommune[[#This Row],[B15-O]]</f>
        <v>0.12713310580204779</v>
      </c>
      <c r="R99" s="34">
        <f>Rådatakommune[[#This Row],[S14-O]]/Rådatakommune[[#This Row],[S04-O]]-1</f>
        <v>0.176033934252386</v>
      </c>
      <c r="S99" s="34">
        <f>Rådatakommune[[#This Row],[Y14-O]]/Rådatakommune[[#This Row],[Folk20-64-O]]</f>
        <v>0.9234550561797753</v>
      </c>
    </row>
    <row r="100" spans="1:19" x14ac:dyDescent="0.25">
      <c r="A100" s="2" t="s">
        <v>98</v>
      </c>
      <c r="B100" s="37">
        <v>4670</v>
      </c>
      <c r="C100" s="36">
        <v>4716</v>
      </c>
      <c r="D100" s="33">
        <v>2551</v>
      </c>
      <c r="E100" s="38">
        <v>849</v>
      </c>
      <c r="F100" s="39">
        <v>450</v>
      </c>
      <c r="G100">
        <v>2608</v>
      </c>
      <c r="H100" s="33">
        <v>2402</v>
      </c>
      <c r="I100" s="33">
        <v>2480</v>
      </c>
      <c r="J100" s="5">
        <v>1174.93</v>
      </c>
      <c r="K100" s="40">
        <v>359700</v>
      </c>
      <c r="L100" s="45">
        <v>152.15</v>
      </c>
      <c r="M100" s="41">
        <v>8</v>
      </c>
      <c r="N100" s="32">
        <f>Rådatakommune[[#This Row],[B15-O]]/Rådatakommune[[#This Row],[Totalareal2015-O]]</f>
        <v>4.0138561446213812</v>
      </c>
      <c r="O100" s="34">
        <f>Rådatakommune[[#This Row],[B15-O]]/Rådatakommune[[#This Row],[B05-O]]-1</f>
        <v>9.8501070663812307E-3</v>
      </c>
      <c r="P100" s="34">
        <f>Rådatakommune[[#This Row],[Kvinner20-39-O]]/Rådatakommune[[#This Row],[B15-O]]</f>
        <v>9.5419847328244281E-2</v>
      </c>
      <c r="Q100" s="34">
        <f>Rådatakommune[[#This Row],[Eldre67+-O]]/Rådatakommune[[#This Row],[B15-O]]</f>
        <v>0.18002544529262088</v>
      </c>
      <c r="R100" s="34">
        <f>Rådatakommune[[#This Row],[S14-O]]/Rådatakommune[[#This Row],[S04-O]]-1</f>
        <v>3.2472939217318864E-2</v>
      </c>
      <c r="S100" s="34">
        <f>Rådatakommune[[#This Row],[Y14-O]]/Rådatakommune[[#This Row],[Folk20-64-O]]</f>
        <v>0.97814417177914115</v>
      </c>
    </row>
    <row r="101" spans="1:19" x14ac:dyDescent="0.25">
      <c r="A101" s="2" t="s">
        <v>99</v>
      </c>
      <c r="B101" s="37">
        <v>4557</v>
      </c>
      <c r="C101" s="36">
        <v>4471</v>
      </c>
      <c r="D101" s="33">
        <v>2515</v>
      </c>
      <c r="E101" s="38">
        <v>825</v>
      </c>
      <c r="F101" s="39">
        <v>516</v>
      </c>
      <c r="G101">
        <v>2616</v>
      </c>
      <c r="H101" s="33">
        <v>2189</v>
      </c>
      <c r="I101" s="33">
        <v>2247</v>
      </c>
      <c r="J101" s="5">
        <v>1854.63</v>
      </c>
      <c r="K101" s="40">
        <v>384100</v>
      </c>
      <c r="L101" s="45">
        <v>166.68333333300001</v>
      </c>
      <c r="M101" s="41">
        <v>8</v>
      </c>
      <c r="N101" s="32">
        <f>Rådatakommune[[#This Row],[B15-O]]/Rådatakommune[[#This Row],[Totalareal2015-O]]</f>
        <v>2.4107234327062539</v>
      </c>
      <c r="O101" s="34">
        <f>Rådatakommune[[#This Row],[B15-O]]/Rådatakommune[[#This Row],[B05-O]]-1</f>
        <v>-1.8872064955014256E-2</v>
      </c>
      <c r="P101" s="34">
        <f>Rådatakommune[[#This Row],[Kvinner20-39-O]]/Rådatakommune[[#This Row],[B15-O]]</f>
        <v>0.11541042272422276</v>
      </c>
      <c r="Q101" s="34">
        <f>Rådatakommune[[#This Row],[Eldre67+-O]]/Rådatakommune[[#This Row],[B15-O]]</f>
        <v>0.18452247819279805</v>
      </c>
      <c r="R101" s="34">
        <f>Rådatakommune[[#This Row],[S14-O]]/Rådatakommune[[#This Row],[S04-O]]-1</f>
        <v>2.6496116948378168E-2</v>
      </c>
      <c r="S101" s="34">
        <f>Rådatakommune[[#This Row],[Y14-O]]/Rådatakommune[[#This Row],[Folk20-64-O]]</f>
        <v>0.96139143730886845</v>
      </c>
    </row>
    <row r="102" spans="1:19" x14ac:dyDescent="0.25">
      <c r="A102" s="2" t="s">
        <v>100</v>
      </c>
      <c r="B102" s="37">
        <v>3537</v>
      </c>
      <c r="C102" s="36">
        <v>3520</v>
      </c>
      <c r="D102" s="33">
        <v>1940</v>
      </c>
      <c r="E102" s="38">
        <v>666</v>
      </c>
      <c r="F102" s="39">
        <v>339</v>
      </c>
      <c r="G102">
        <v>1967</v>
      </c>
      <c r="H102" s="33">
        <v>1404</v>
      </c>
      <c r="I102" s="33">
        <v>1565</v>
      </c>
      <c r="J102" s="5">
        <v>842.28000000000009</v>
      </c>
      <c r="K102" s="40">
        <v>371300</v>
      </c>
      <c r="L102" s="45">
        <v>80.266666666700004</v>
      </c>
      <c r="M102" s="41">
        <v>2</v>
      </c>
      <c r="N102" s="32">
        <f>Rådatakommune[[#This Row],[B15-O]]/Rådatakommune[[#This Row],[Totalareal2015-O]]</f>
        <v>4.1791328299377879</v>
      </c>
      <c r="O102" s="34">
        <f>Rådatakommune[[#This Row],[B15-O]]/Rådatakommune[[#This Row],[B05-O]]-1</f>
        <v>-4.8063330506078472E-3</v>
      </c>
      <c r="P102" s="34">
        <f>Rådatakommune[[#This Row],[Kvinner20-39-O]]/Rådatakommune[[#This Row],[B15-O]]</f>
        <v>9.6306818181818188E-2</v>
      </c>
      <c r="Q102" s="34">
        <f>Rådatakommune[[#This Row],[Eldre67+-O]]/Rådatakommune[[#This Row],[B15-O]]</f>
        <v>0.18920454545454546</v>
      </c>
      <c r="R102" s="34">
        <f>Rådatakommune[[#This Row],[S14-O]]/Rådatakommune[[#This Row],[S04-O]]-1</f>
        <v>0.11467236467236464</v>
      </c>
      <c r="S102" s="34">
        <f>Rådatakommune[[#This Row],[Y14-O]]/Rådatakommune[[#This Row],[Folk20-64-O]]</f>
        <v>0.98627351296390442</v>
      </c>
    </row>
    <row r="103" spans="1:19" x14ac:dyDescent="0.25">
      <c r="A103" s="2" t="s">
        <v>101</v>
      </c>
      <c r="B103" s="37">
        <v>2151</v>
      </c>
      <c r="C103" s="36">
        <v>2268</v>
      </c>
      <c r="D103" s="33">
        <v>1212</v>
      </c>
      <c r="E103" s="38">
        <v>375</v>
      </c>
      <c r="F103" s="39">
        <v>272</v>
      </c>
      <c r="G103">
        <v>1359</v>
      </c>
      <c r="H103" s="33">
        <v>887</v>
      </c>
      <c r="I103" s="33">
        <v>1123</v>
      </c>
      <c r="J103" s="5">
        <v>374.51</v>
      </c>
      <c r="K103" s="40">
        <v>380100</v>
      </c>
      <c r="L103" s="45">
        <v>79.666666666699996</v>
      </c>
      <c r="M103" s="41">
        <v>5</v>
      </c>
      <c r="N103" s="32">
        <f>Rådatakommune[[#This Row],[B15-O]]/Rådatakommune[[#This Row],[Totalareal2015-O]]</f>
        <v>6.0559130597313828</v>
      </c>
      <c r="O103" s="34">
        <f>Rådatakommune[[#This Row],[B15-O]]/Rådatakommune[[#This Row],[B05-O]]-1</f>
        <v>5.439330543933063E-2</v>
      </c>
      <c r="P103" s="34">
        <f>Rådatakommune[[#This Row],[Kvinner20-39-O]]/Rådatakommune[[#This Row],[B15-O]]</f>
        <v>0.11992945326278659</v>
      </c>
      <c r="Q103" s="34">
        <f>Rådatakommune[[#This Row],[Eldre67+-O]]/Rådatakommune[[#This Row],[B15-O]]</f>
        <v>0.16534391534391535</v>
      </c>
      <c r="R103" s="34">
        <f>Rådatakommune[[#This Row],[S14-O]]/Rådatakommune[[#This Row],[S04-O]]-1</f>
        <v>0.26606538895152188</v>
      </c>
      <c r="S103" s="34">
        <f>Rådatakommune[[#This Row],[Y14-O]]/Rådatakommune[[#This Row],[Folk20-64-O]]</f>
        <v>0.89183222958057395</v>
      </c>
    </row>
    <row r="104" spans="1:19" x14ac:dyDescent="0.25">
      <c r="A104" s="2" t="s">
        <v>102</v>
      </c>
      <c r="B104" s="37">
        <v>12541</v>
      </c>
      <c r="C104" s="36">
        <v>13685</v>
      </c>
      <c r="D104" s="33">
        <v>6723</v>
      </c>
      <c r="E104" s="38">
        <v>2231</v>
      </c>
      <c r="F104" s="39">
        <v>1541</v>
      </c>
      <c r="G104">
        <v>8030</v>
      </c>
      <c r="H104" s="33">
        <v>5134</v>
      </c>
      <c r="I104" s="33">
        <v>5290</v>
      </c>
      <c r="J104" s="5">
        <v>517.19000000000005</v>
      </c>
      <c r="K104" s="40">
        <v>367300</v>
      </c>
      <c r="L104" s="45">
        <v>64.316666666700002</v>
      </c>
      <c r="M104" s="41">
        <v>2</v>
      </c>
      <c r="N104" s="32">
        <f>Rådatakommune[[#This Row],[B15-O]]/Rådatakommune[[#This Row],[Totalareal2015-O]]</f>
        <v>26.460295055975557</v>
      </c>
      <c r="O104" s="34">
        <f>Rådatakommune[[#This Row],[B15-O]]/Rådatakommune[[#This Row],[B05-O]]-1</f>
        <v>9.1220795789809461E-2</v>
      </c>
      <c r="P104" s="34">
        <f>Rådatakommune[[#This Row],[Kvinner20-39-O]]/Rådatakommune[[#This Row],[B15-O]]</f>
        <v>0.11260504201680673</v>
      </c>
      <c r="Q104" s="34">
        <f>Rådatakommune[[#This Row],[Eldre67+-O]]/Rådatakommune[[#This Row],[B15-O]]</f>
        <v>0.16302521008403362</v>
      </c>
      <c r="R104" s="34">
        <f>Rådatakommune[[#This Row],[S14-O]]/Rådatakommune[[#This Row],[S04-O]]-1</f>
        <v>3.0385664199454654E-2</v>
      </c>
      <c r="S104" s="34">
        <f>Rådatakommune[[#This Row],[Y14-O]]/Rådatakommune[[#This Row],[Folk20-64-O]]</f>
        <v>0.83723536737235371</v>
      </c>
    </row>
    <row r="105" spans="1:19" x14ac:dyDescent="0.25">
      <c r="A105" s="2" t="s">
        <v>103</v>
      </c>
      <c r="B105" s="37">
        <v>15633</v>
      </c>
      <c r="C105" s="36">
        <v>18039</v>
      </c>
      <c r="D105" s="33">
        <v>9138</v>
      </c>
      <c r="E105" s="38">
        <v>2587</v>
      </c>
      <c r="F105" s="39">
        <v>2200</v>
      </c>
      <c r="G105">
        <v>10671</v>
      </c>
      <c r="H105" s="33">
        <v>5280</v>
      </c>
      <c r="I105" s="33">
        <v>6561</v>
      </c>
      <c r="J105" s="5">
        <v>456.70000000000005</v>
      </c>
      <c r="K105" s="40">
        <v>385300</v>
      </c>
      <c r="L105" s="45">
        <v>44.916666666700003</v>
      </c>
      <c r="M105" s="41">
        <v>2</v>
      </c>
      <c r="N105" s="32">
        <f>Rådatakommune[[#This Row],[B15-O]]/Rådatakommune[[#This Row],[Totalareal2015-O]]</f>
        <v>39.498576746222902</v>
      </c>
      <c r="O105" s="34">
        <f>Rådatakommune[[#This Row],[B15-O]]/Rådatakommune[[#This Row],[B05-O]]-1</f>
        <v>0.15390520053732493</v>
      </c>
      <c r="P105" s="34">
        <f>Rådatakommune[[#This Row],[Kvinner20-39-O]]/Rådatakommune[[#This Row],[B15-O]]</f>
        <v>0.12195797993236876</v>
      </c>
      <c r="Q105" s="34">
        <f>Rådatakommune[[#This Row],[Eldre67+-O]]/Rådatakommune[[#This Row],[B15-O]]</f>
        <v>0.14341149731138089</v>
      </c>
      <c r="R105" s="34">
        <f>Rådatakommune[[#This Row],[S14-O]]/Rådatakommune[[#This Row],[S04-O]]-1</f>
        <v>0.24261363636363642</v>
      </c>
      <c r="S105" s="34">
        <f>Rådatakommune[[#This Row],[Y14-O]]/Rådatakommune[[#This Row],[Folk20-64-O]]</f>
        <v>0.85633961203261177</v>
      </c>
    </row>
    <row r="106" spans="1:19" x14ac:dyDescent="0.25">
      <c r="A106" s="2" t="s">
        <v>104</v>
      </c>
      <c r="B106" s="37">
        <v>21522</v>
      </c>
      <c r="C106" s="36">
        <v>24154</v>
      </c>
      <c r="D106" s="33">
        <v>12220</v>
      </c>
      <c r="E106" s="38">
        <v>3108</v>
      </c>
      <c r="F106" s="39">
        <v>3030</v>
      </c>
      <c r="G106">
        <v>14220</v>
      </c>
      <c r="H106" s="33">
        <v>6292</v>
      </c>
      <c r="I106" s="33">
        <v>7476</v>
      </c>
      <c r="J106" s="5">
        <v>121.76</v>
      </c>
      <c r="K106" s="40">
        <v>380800</v>
      </c>
      <c r="L106" s="45">
        <v>39.316666666700002</v>
      </c>
      <c r="M106" s="41">
        <v>2</v>
      </c>
      <c r="N106" s="32">
        <f>Rådatakommune[[#This Row],[B15-O]]/Rådatakommune[[#This Row],[Totalareal2015-O]]</f>
        <v>198.37385019710905</v>
      </c>
      <c r="O106" s="34">
        <f>Rådatakommune[[#This Row],[B15-O]]/Rådatakommune[[#This Row],[B05-O]]-1</f>
        <v>0.1222934671498932</v>
      </c>
      <c r="P106" s="34">
        <f>Rådatakommune[[#This Row],[Kvinner20-39-O]]/Rådatakommune[[#This Row],[B15-O]]</f>
        <v>0.12544506085948498</v>
      </c>
      <c r="Q106" s="34">
        <f>Rådatakommune[[#This Row],[Eldre67+-O]]/Rådatakommune[[#This Row],[B15-O]]</f>
        <v>0.12867433965388755</v>
      </c>
      <c r="R106" s="34">
        <f>Rådatakommune[[#This Row],[S14-O]]/Rådatakommune[[#This Row],[S04-O]]-1</f>
        <v>0.18817546090273374</v>
      </c>
      <c r="S106" s="34">
        <f>Rådatakommune[[#This Row],[Y14-O]]/Rådatakommune[[#This Row],[Folk20-64-O]]</f>
        <v>0.85935302390998591</v>
      </c>
    </row>
    <row r="107" spans="1:19" x14ac:dyDescent="0.25">
      <c r="A107" s="2" t="s">
        <v>105</v>
      </c>
      <c r="B107" s="37">
        <v>21725</v>
      </c>
      <c r="C107" s="36">
        <v>25378</v>
      </c>
      <c r="D107" s="33">
        <v>13260</v>
      </c>
      <c r="E107" s="38">
        <v>3411</v>
      </c>
      <c r="F107" s="39">
        <v>2974</v>
      </c>
      <c r="G107">
        <v>14832</v>
      </c>
      <c r="H107" s="33">
        <v>10308</v>
      </c>
      <c r="I107" s="33">
        <v>13584</v>
      </c>
      <c r="J107" s="5">
        <v>301.60000000000002</v>
      </c>
      <c r="K107" s="40">
        <v>437500</v>
      </c>
      <c r="L107" s="45">
        <v>28.833333333300001</v>
      </c>
      <c r="M107" s="41">
        <v>2</v>
      </c>
      <c r="N107" s="32">
        <f>Rådatakommune[[#This Row],[B15-O]]/Rådatakommune[[#This Row],[Totalareal2015-O]]</f>
        <v>84.144562334217497</v>
      </c>
      <c r="O107" s="34">
        <f>Rådatakommune[[#This Row],[B15-O]]/Rådatakommune[[#This Row],[B05-O]]-1</f>
        <v>0.16814729574223253</v>
      </c>
      <c r="P107" s="34">
        <f>Rådatakommune[[#This Row],[Kvinner20-39-O]]/Rådatakommune[[#This Row],[B15-O]]</f>
        <v>0.11718811569075577</v>
      </c>
      <c r="Q107" s="34">
        <f>Rådatakommune[[#This Row],[Eldre67+-O]]/Rådatakommune[[#This Row],[B15-O]]</f>
        <v>0.1344077547482071</v>
      </c>
      <c r="R107" s="34">
        <f>Rådatakommune[[#This Row],[S14-O]]/Rådatakommune[[#This Row],[S04-O]]-1</f>
        <v>0.31781140861466817</v>
      </c>
      <c r="S107" s="34">
        <f>Rådatakommune[[#This Row],[Y14-O]]/Rådatakommune[[#This Row],[Folk20-64-O]]</f>
        <v>0.89401294498381878</v>
      </c>
    </row>
    <row r="108" spans="1:19" x14ac:dyDescent="0.25">
      <c r="A108" s="2" t="s">
        <v>106</v>
      </c>
      <c r="B108" s="37">
        <v>17280</v>
      </c>
      <c r="C108" s="36">
        <v>21038</v>
      </c>
      <c r="D108" s="33">
        <v>11207</v>
      </c>
      <c r="E108" s="38">
        <v>2537</v>
      </c>
      <c r="F108" s="39">
        <v>2451</v>
      </c>
      <c r="G108">
        <v>12361</v>
      </c>
      <c r="H108" s="33">
        <v>4693</v>
      </c>
      <c r="I108" s="33">
        <v>5590</v>
      </c>
      <c r="J108" s="5">
        <v>112.63000000000001</v>
      </c>
      <c r="K108" s="40">
        <v>442300</v>
      </c>
      <c r="L108" s="45">
        <v>26.433333333299998</v>
      </c>
      <c r="M108" s="41">
        <v>1</v>
      </c>
      <c r="N108" s="32">
        <f>Rådatakommune[[#This Row],[B15-O]]/Rådatakommune[[#This Row],[Totalareal2015-O]]</f>
        <v>186.78859984018467</v>
      </c>
      <c r="O108" s="34">
        <f>Rådatakommune[[#This Row],[B15-O]]/Rådatakommune[[#This Row],[B05-O]]-1</f>
        <v>0.21747685185185195</v>
      </c>
      <c r="P108" s="34">
        <f>Rådatakommune[[#This Row],[Kvinner20-39-O]]/Rådatakommune[[#This Row],[B15-O]]</f>
        <v>0.11650346991158855</v>
      </c>
      <c r="Q108" s="34">
        <f>Rådatakommune[[#This Row],[Eldre67+-O]]/Rådatakommune[[#This Row],[B15-O]]</f>
        <v>0.12059131096111797</v>
      </c>
      <c r="R108" s="34">
        <f>Rådatakommune[[#This Row],[S14-O]]/Rådatakommune[[#This Row],[S04-O]]-1</f>
        <v>0.19113573407202211</v>
      </c>
      <c r="S108" s="34">
        <f>Rådatakommune[[#This Row],[Y14-O]]/Rådatakommune[[#This Row],[Folk20-64-O]]</f>
        <v>0.90664185745489845</v>
      </c>
    </row>
    <row r="109" spans="1:19" x14ac:dyDescent="0.25">
      <c r="A109" s="2" t="s">
        <v>107</v>
      </c>
      <c r="B109" s="37">
        <v>8799</v>
      </c>
      <c r="C109" s="36">
        <v>9365</v>
      </c>
      <c r="D109" s="33">
        <v>4560</v>
      </c>
      <c r="E109" s="38">
        <v>1563</v>
      </c>
      <c r="F109" s="39">
        <v>915</v>
      </c>
      <c r="G109">
        <v>5281</v>
      </c>
      <c r="H109" s="33">
        <v>2841</v>
      </c>
      <c r="I109" s="33">
        <v>2635</v>
      </c>
      <c r="J109" s="5">
        <v>163.26</v>
      </c>
      <c r="K109" s="40">
        <v>403800</v>
      </c>
      <c r="L109" s="45">
        <v>50.016666666699997</v>
      </c>
      <c r="M109" s="41">
        <v>1</v>
      </c>
      <c r="N109" s="32">
        <f>Rådatakommune[[#This Row],[B15-O]]/Rådatakommune[[#This Row],[Totalareal2015-O]]</f>
        <v>57.362489280901634</v>
      </c>
      <c r="O109" s="34">
        <f>Rådatakommune[[#This Row],[B15-O]]/Rådatakommune[[#This Row],[B05-O]]-1</f>
        <v>6.4325491533128831E-2</v>
      </c>
      <c r="P109" s="34">
        <f>Rådatakommune[[#This Row],[Kvinner20-39-O]]/Rådatakommune[[#This Row],[B15-O]]</f>
        <v>9.7704217832354515E-2</v>
      </c>
      <c r="Q109" s="34">
        <f>Rådatakommune[[#This Row],[Eldre67+-O]]/Rådatakommune[[#This Row],[B15-O]]</f>
        <v>0.16689802455953018</v>
      </c>
      <c r="R109" s="34">
        <f>Rådatakommune[[#This Row],[S14-O]]/Rådatakommune[[#This Row],[S04-O]]-1</f>
        <v>-7.2509679690249906E-2</v>
      </c>
      <c r="S109" s="34">
        <f>Rådatakommune[[#This Row],[Y14-O]]/Rådatakommune[[#This Row],[Folk20-64-O]]</f>
        <v>0.86347282711607654</v>
      </c>
    </row>
    <row r="110" spans="1:19" x14ac:dyDescent="0.25">
      <c r="A110" s="2" t="s">
        <v>108</v>
      </c>
      <c r="B110" s="37">
        <v>2517</v>
      </c>
      <c r="C110" s="36">
        <v>2671</v>
      </c>
      <c r="D110" s="33">
        <v>1407</v>
      </c>
      <c r="E110" s="38">
        <v>444</v>
      </c>
      <c r="F110" s="39">
        <v>287</v>
      </c>
      <c r="G110">
        <v>1492</v>
      </c>
      <c r="H110" s="33">
        <v>776</v>
      </c>
      <c r="I110" s="33">
        <v>790</v>
      </c>
      <c r="J110" s="5">
        <v>561.91</v>
      </c>
      <c r="K110" s="40">
        <v>391100</v>
      </c>
      <c r="L110" s="45">
        <v>75.766666666700004</v>
      </c>
      <c r="M110" s="41">
        <v>5</v>
      </c>
      <c r="N110" s="32">
        <f>Rådatakommune[[#This Row],[B15-O]]/Rådatakommune[[#This Row],[Totalareal2015-O]]</f>
        <v>4.7534302646331268</v>
      </c>
      <c r="O110" s="34">
        <f>Rådatakommune[[#This Row],[B15-O]]/Rådatakommune[[#This Row],[B05-O]]-1</f>
        <v>6.1183949145808603E-2</v>
      </c>
      <c r="P110" s="34">
        <f>Rådatakommune[[#This Row],[Kvinner20-39-O]]/Rådatakommune[[#This Row],[B15-O]]</f>
        <v>0.10745039311119431</v>
      </c>
      <c r="Q110" s="34">
        <f>Rådatakommune[[#This Row],[Eldre67+-O]]/Rådatakommune[[#This Row],[B15-O]]</f>
        <v>0.16622987645076751</v>
      </c>
      <c r="R110" s="34">
        <f>Rådatakommune[[#This Row],[S14-O]]/Rådatakommune[[#This Row],[S04-O]]-1</f>
        <v>1.8041237113401998E-2</v>
      </c>
      <c r="S110" s="34">
        <f>Rådatakommune[[#This Row],[Y14-O]]/Rådatakommune[[#This Row],[Folk20-64-O]]</f>
        <v>0.943029490616622</v>
      </c>
    </row>
    <row r="111" spans="1:19" x14ac:dyDescent="0.25">
      <c r="A111" s="2" t="s">
        <v>109</v>
      </c>
      <c r="B111" s="37">
        <v>1441</v>
      </c>
      <c r="C111" s="36">
        <v>1375</v>
      </c>
      <c r="D111" s="33">
        <v>704</v>
      </c>
      <c r="E111" s="38">
        <v>303</v>
      </c>
      <c r="F111" s="39">
        <v>127</v>
      </c>
      <c r="G111">
        <v>743</v>
      </c>
      <c r="H111" s="33">
        <v>609</v>
      </c>
      <c r="I111" s="33">
        <v>633</v>
      </c>
      <c r="J111" s="5">
        <v>449.29</v>
      </c>
      <c r="K111" s="40">
        <v>373100</v>
      </c>
      <c r="L111" s="45">
        <v>96.466666666699993</v>
      </c>
      <c r="M111" s="41">
        <v>5</v>
      </c>
      <c r="N111" s="32">
        <f>Rådatakommune[[#This Row],[B15-O]]/Rådatakommune[[#This Row],[Totalareal2015-O]]</f>
        <v>3.0603841616773129</v>
      </c>
      <c r="O111" s="34">
        <f>Rådatakommune[[#This Row],[B15-O]]/Rådatakommune[[#This Row],[B05-O]]-1</f>
        <v>-4.5801526717557217E-2</v>
      </c>
      <c r="P111" s="34">
        <f>Rådatakommune[[#This Row],[Kvinner20-39-O]]/Rådatakommune[[#This Row],[B15-O]]</f>
        <v>9.236363636363637E-2</v>
      </c>
      <c r="Q111" s="34">
        <f>Rådatakommune[[#This Row],[Eldre67+-O]]/Rådatakommune[[#This Row],[B15-O]]</f>
        <v>0.22036363636363637</v>
      </c>
      <c r="R111" s="34">
        <f>Rådatakommune[[#This Row],[S14-O]]/Rådatakommune[[#This Row],[S04-O]]-1</f>
        <v>3.9408866995073843E-2</v>
      </c>
      <c r="S111" s="34">
        <f>Rådatakommune[[#This Row],[Y14-O]]/Rådatakommune[[#This Row],[Folk20-64-O]]</f>
        <v>0.94751009421265142</v>
      </c>
    </row>
    <row r="112" spans="1:19" x14ac:dyDescent="0.25">
      <c r="A112" s="2" t="s">
        <v>110</v>
      </c>
      <c r="B112" s="37">
        <v>2635</v>
      </c>
      <c r="C112" s="36">
        <v>2541</v>
      </c>
      <c r="D112" s="33">
        <v>1426</v>
      </c>
      <c r="E112" s="38">
        <v>496</v>
      </c>
      <c r="F112" s="39">
        <v>225</v>
      </c>
      <c r="G112">
        <v>1405</v>
      </c>
      <c r="H112" s="33">
        <v>1168</v>
      </c>
      <c r="I112" s="33">
        <v>1318</v>
      </c>
      <c r="J112" s="5">
        <v>2502.29</v>
      </c>
      <c r="K112" s="40">
        <v>348100</v>
      </c>
      <c r="L112" s="45">
        <v>130.76666666700001</v>
      </c>
      <c r="M112" s="41">
        <v>11</v>
      </c>
      <c r="N112" s="32">
        <f>Rådatakommune[[#This Row],[B15-O]]/Rådatakommune[[#This Row],[Totalareal2015-O]]</f>
        <v>1.0154698296360534</v>
      </c>
      <c r="O112" s="34">
        <f>Rådatakommune[[#This Row],[B15-O]]/Rådatakommune[[#This Row],[B05-O]]-1</f>
        <v>-3.5673624288425021E-2</v>
      </c>
      <c r="P112" s="34">
        <f>Rådatakommune[[#This Row],[Kvinner20-39-O]]/Rådatakommune[[#This Row],[B15-O]]</f>
        <v>8.8547815820543094E-2</v>
      </c>
      <c r="Q112" s="34">
        <f>Rådatakommune[[#This Row],[Eldre67+-O]]/Rådatakommune[[#This Row],[B15-O]]</f>
        <v>0.1951987406532861</v>
      </c>
      <c r="R112" s="34">
        <f>Rådatakommune[[#This Row],[S14-O]]/Rådatakommune[[#This Row],[S04-O]]-1</f>
        <v>0.12842465753424648</v>
      </c>
      <c r="S112" s="34">
        <f>Rådatakommune[[#This Row],[Y14-O]]/Rådatakommune[[#This Row],[Folk20-64-O]]</f>
        <v>1.014946619217082</v>
      </c>
    </row>
    <row r="113" spans="1:19" x14ac:dyDescent="0.25">
      <c r="A113" s="2" t="s">
        <v>111</v>
      </c>
      <c r="B113" s="37">
        <v>24768</v>
      </c>
      <c r="C113" s="36">
        <v>26903</v>
      </c>
      <c r="D113" s="33">
        <v>12585</v>
      </c>
      <c r="E113" s="38">
        <v>4311</v>
      </c>
      <c r="F113" s="39">
        <v>3092</v>
      </c>
      <c r="G113">
        <v>15584</v>
      </c>
      <c r="H113" s="33">
        <v>9860</v>
      </c>
      <c r="I113" s="33">
        <v>11328</v>
      </c>
      <c r="J113" s="5">
        <v>70.38</v>
      </c>
      <c r="K113" s="40">
        <v>372800</v>
      </c>
      <c r="L113" s="45">
        <v>63.3</v>
      </c>
      <c r="M113" s="41">
        <v>2</v>
      </c>
      <c r="N113" s="32">
        <f>Rådatakommune[[#This Row],[B15-O]]/Rådatakommune[[#This Row],[Totalareal2015-O]]</f>
        <v>382.25348110258597</v>
      </c>
      <c r="O113" s="34">
        <f>Rådatakommune[[#This Row],[B15-O]]/Rådatakommune[[#This Row],[B05-O]]-1</f>
        <v>8.6199935400516736E-2</v>
      </c>
      <c r="P113" s="34">
        <f>Rådatakommune[[#This Row],[Kvinner20-39-O]]/Rådatakommune[[#This Row],[B15-O]]</f>
        <v>0.11493142028770026</v>
      </c>
      <c r="Q113" s="34">
        <f>Rådatakommune[[#This Row],[Eldre67+-O]]/Rådatakommune[[#This Row],[B15-O]]</f>
        <v>0.16024235215403487</v>
      </c>
      <c r="R113" s="34">
        <f>Rådatakommune[[#This Row],[S14-O]]/Rådatakommune[[#This Row],[S04-O]]-1</f>
        <v>0.14888438133874238</v>
      </c>
      <c r="S113" s="34">
        <f>Rådatakommune[[#This Row],[Y14-O]]/Rådatakommune[[#This Row],[Folk20-64-O]]</f>
        <v>0.80755903490759751</v>
      </c>
    </row>
    <row r="114" spans="1:19" x14ac:dyDescent="0.25">
      <c r="A114" s="2" t="s">
        <v>112</v>
      </c>
      <c r="B114" s="37">
        <v>9604</v>
      </c>
      <c r="C114" s="36">
        <v>10661</v>
      </c>
      <c r="D114" s="33">
        <v>5139</v>
      </c>
      <c r="E114" s="38">
        <v>1714</v>
      </c>
      <c r="F114" s="39">
        <v>1224</v>
      </c>
      <c r="G114">
        <v>6179</v>
      </c>
      <c r="H114" s="33">
        <v>3922</v>
      </c>
      <c r="I114" s="33">
        <v>3851</v>
      </c>
      <c r="J114" s="5">
        <v>86.06</v>
      </c>
      <c r="K114" s="40">
        <v>384100</v>
      </c>
      <c r="L114" s="45">
        <v>52.75</v>
      </c>
      <c r="M114" s="41">
        <v>2</v>
      </c>
      <c r="N114" s="32">
        <f>Rådatakommune[[#This Row],[B15-O]]/Rådatakommune[[#This Row],[Totalareal2015-O]]</f>
        <v>123.87868928654427</v>
      </c>
      <c r="O114" s="34">
        <f>Rådatakommune[[#This Row],[B15-O]]/Rådatakommune[[#This Row],[B05-O]]-1</f>
        <v>0.11005830903790081</v>
      </c>
      <c r="P114" s="34">
        <f>Rådatakommune[[#This Row],[Kvinner20-39-O]]/Rådatakommune[[#This Row],[B15-O]]</f>
        <v>0.11481099334021198</v>
      </c>
      <c r="Q114" s="34">
        <f>Rådatakommune[[#This Row],[Eldre67+-O]]/Rådatakommune[[#This Row],[B15-O]]</f>
        <v>0.16077291060876089</v>
      </c>
      <c r="R114" s="34">
        <f>Rådatakommune[[#This Row],[S14-O]]/Rådatakommune[[#This Row],[S04-O]]-1</f>
        <v>-1.810300866904635E-2</v>
      </c>
      <c r="S114" s="34">
        <f>Rådatakommune[[#This Row],[Y14-O]]/Rådatakommune[[#This Row],[Folk20-64-O]]</f>
        <v>0.83168797540055028</v>
      </c>
    </row>
    <row r="115" spans="1:19" x14ac:dyDescent="0.25">
      <c r="A115" s="2" t="s">
        <v>113</v>
      </c>
      <c r="B115" s="37">
        <v>36452</v>
      </c>
      <c r="C115" s="36">
        <v>41920</v>
      </c>
      <c r="D115" s="33">
        <v>21111</v>
      </c>
      <c r="E115" s="38">
        <v>6339</v>
      </c>
      <c r="F115" s="39">
        <v>5441</v>
      </c>
      <c r="G115">
        <v>24915</v>
      </c>
      <c r="H115" s="33">
        <v>25640</v>
      </c>
      <c r="I115" s="33">
        <v>27882</v>
      </c>
      <c r="J115" s="5">
        <v>106.68</v>
      </c>
      <c r="K115" s="40">
        <v>399300</v>
      </c>
      <c r="L115" s="45">
        <v>66.3</v>
      </c>
      <c r="M115" s="41">
        <v>2</v>
      </c>
      <c r="N115" s="32">
        <f>Rådatakommune[[#This Row],[B15-O]]/Rådatakommune[[#This Row],[Totalareal2015-O]]</f>
        <v>392.95088113985747</v>
      </c>
      <c r="O115" s="34">
        <f>Rådatakommune[[#This Row],[B15-O]]/Rådatakommune[[#This Row],[B05-O]]-1</f>
        <v>0.15000548666739832</v>
      </c>
      <c r="P115" s="34">
        <f>Rådatakommune[[#This Row],[Kvinner20-39-O]]/Rådatakommune[[#This Row],[B15-O]]</f>
        <v>0.12979484732824428</v>
      </c>
      <c r="Q115" s="34">
        <f>Rådatakommune[[#This Row],[Eldre67+-O]]/Rådatakommune[[#This Row],[B15-O]]</f>
        <v>0.15121660305343512</v>
      </c>
      <c r="R115" s="34">
        <f>Rådatakommune[[#This Row],[S14-O]]/Rådatakommune[[#This Row],[S04-O]]-1</f>
        <v>8.7441497659906497E-2</v>
      </c>
      <c r="S115" s="34">
        <f>Rådatakommune[[#This Row],[Y14-O]]/Rådatakommune[[#This Row],[Folk20-64-O]]</f>
        <v>0.84732089102950026</v>
      </c>
    </row>
    <row r="116" spans="1:19" x14ac:dyDescent="0.25">
      <c r="A116" s="2" t="s">
        <v>114</v>
      </c>
      <c r="B116" s="37">
        <v>41289</v>
      </c>
      <c r="C116" s="36">
        <v>45281</v>
      </c>
      <c r="D116" s="33">
        <v>21465</v>
      </c>
      <c r="E116" s="38">
        <v>7229</v>
      </c>
      <c r="F116" s="39">
        <v>5193</v>
      </c>
      <c r="G116">
        <v>26045</v>
      </c>
      <c r="H116" s="33">
        <v>18504</v>
      </c>
      <c r="I116" s="33">
        <v>21253</v>
      </c>
      <c r="J116" s="5">
        <v>121.21</v>
      </c>
      <c r="K116" s="40">
        <v>387400</v>
      </c>
      <c r="L116" s="45">
        <v>75.566666666700002</v>
      </c>
      <c r="M116" s="41">
        <v>4</v>
      </c>
      <c r="N116" s="32">
        <f>Rådatakommune[[#This Row],[B15-O]]/Rådatakommune[[#This Row],[Totalareal2015-O]]</f>
        <v>373.5747875587823</v>
      </c>
      <c r="O116" s="34">
        <f>Rådatakommune[[#This Row],[B15-O]]/Rådatakommune[[#This Row],[B05-O]]-1</f>
        <v>9.6684346920487219E-2</v>
      </c>
      <c r="P116" s="34">
        <f>Rådatakommune[[#This Row],[Kvinner20-39-O]]/Rådatakommune[[#This Row],[B15-O]]</f>
        <v>0.11468386298889159</v>
      </c>
      <c r="Q116" s="34">
        <f>Rådatakommune[[#This Row],[Eldre67+-O]]/Rådatakommune[[#This Row],[B15-O]]</f>
        <v>0.15964753428590359</v>
      </c>
      <c r="R116" s="34">
        <f>Rådatakommune[[#This Row],[S14-O]]/Rådatakommune[[#This Row],[S04-O]]-1</f>
        <v>0.14856247297881531</v>
      </c>
      <c r="S116" s="34">
        <f>Rådatakommune[[#This Row],[Y14-O]]/Rådatakommune[[#This Row],[Folk20-64-O]]</f>
        <v>0.82415050873488194</v>
      </c>
    </row>
    <row r="117" spans="1:19" x14ac:dyDescent="0.25">
      <c r="A117" s="2" t="s">
        <v>115</v>
      </c>
      <c r="B117" s="37">
        <v>41142</v>
      </c>
      <c r="C117" s="36">
        <v>43506</v>
      </c>
      <c r="D117" s="33">
        <v>21084</v>
      </c>
      <c r="E117" s="38">
        <v>7190</v>
      </c>
      <c r="F117" s="39">
        <v>4822</v>
      </c>
      <c r="G117">
        <v>25053</v>
      </c>
      <c r="H117" s="33">
        <v>17484</v>
      </c>
      <c r="I117" s="33">
        <v>18152</v>
      </c>
      <c r="J117" s="5">
        <v>534.98</v>
      </c>
      <c r="K117" s="40">
        <v>369500</v>
      </c>
      <c r="L117" s="45">
        <v>83.2</v>
      </c>
      <c r="M117" s="41">
        <v>4</v>
      </c>
      <c r="N117" s="32">
        <f>Rådatakommune[[#This Row],[B15-O]]/Rådatakommune[[#This Row],[Totalareal2015-O]]</f>
        <v>81.322666267897858</v>
      </c>
      <c r="O117" s="34">
        <f>Rådatakommune[[#This Row],[B15-O]]/Rådatakommune[[#This Row],[B05-O]]-1</f>
        <v>5.7459530406883452E-2</v>
      </c>
      <c r="P117" s="34">
        <f>Rådatakommune[[#This Row],[Kvinner20-39-O]]/Rådatakommune[[#This Row],[B15-O]]</f>
        <v>0.1108352870868386</v>
      </c>
      <c r="Q117" s="34">
        <f>Rådatakommune[[#This Row],[Eldre67+-O]]/Rådatakommune[[#This Row],[B15-O]]</f>
        <v>0.16526456120994806</v>
      </c>
      <c r="R117" s="34">
        <f>Rådatakommune[[#This Row],[S14-O]]/Rådatakommune[[#This Row],[S04-O]]-1</f>
        <v>3.8206360100663472E-2</v>
      </c>
      <c r="S117" s="34">
        <f>Rådatakommune[[#This Row],[Y14-O]]/Rådatakommune[[#This Row],[Folk20-64-O]]</f>
        <v>0.8415758591785415</v>
      </c>
    </row>
    <row r="118" spans="1:19" x14ac:dyDescent="0.25">
      <c r="A118" s="2" t="s">
        <v>116</v>
      </c>
      <c r="B118" s="37">
        <v>6441</v>
      </c>
      <c r="C118" s="36">
        <v>6601</v>
      </c>
      <c r="D118" s="33">
        <v>3297</v>
      </c>
      <c r="E118" s="38">
        <v>1046</v>
      </c>
      <c r="F118" s="39">
        <v>708</v>
      </c>
      <c r="G118">
        <v>3888</v>
      </c>
      <c r="H118" s="33">
        <v>1478</v>
      </c>
      <c r="I118" s="33">
        <v>1586</v>
      </c>
      <c r="J118" s="5">
        <v>57.72</v>
      </c>
      <c r="K118" s="40">
        <v>378900</v>
      </c>
      <c r="L118" s="45">
        <v>46.733333333300003</v>
      </c>
      <c r="M118" s="41">
        <v>2</v>
      </c>
      <c r="N118" s="32">
        <f>Rådatakommune[[#This Row],[B15-O]]/Rådatakommune[[#This Row],[Totalareal2015-O]]</f>
        <v>114.36243936243936</v>
      </c>
      <c r="O118" s="34">
        <f>Rådatakommune[[#This Row],[B15-O]]/Rådatakommune[[#This Row],[B05-O]]-1</f>
        <v>2.4840863219996789E-2</v>
      </c>
      <c r="P118" s="34">
        <f>Rådatakommune[[#This Row],[Kvinner20-39-O]]/Rådatakommune[[#This Row],[B15-O]]</f>
        <v>0.10725647629147099</v>
      </c>
      <c r="Q118" s="34">
        <f>Rådatakommune[[#This Row],[Eldre67+-O]]/Rådatakommune[[#This Row],[B15-O]]</f>
        <v>0.15846083926677776</v>
      </c>
      <c r="R118" s="34">
        <f>Rådatakommune[[#This Row],[S14-O]]/Rådatakommune[[#This Row],[S04-O]]-1</f>
        <v>7.3071718538565644E-2</v>
      </c>
      <c r="S118" s="34">
        <f>Rådatakommune[[#This Row],[Y14-O]]/Rådatakommune[[#This Row],[Folk20-64-O]]</f>
        <v>0.84799382716049387</v>
      </c>
    </row>
    <row r="119" spans="1:19" x14ac:dyDescent="0.25">
      <c r="A119" s="2" t="s">
        <v>117</v>
      </c>
      <c r="B119" s="37">
        <v>7690</v>
      </c>
      <c r="C119" s="36">
        <v>9149</v>
      </c>
      <c r="D119" s="33">
        <v>4603</v>
      </c>
      <c r="E119" s="38">
        <v>1281</v>
      </c>
      <c r="F119" s="39">
        <v>1066</v>
      </c>
      <c r="G119">
        <v>5294</v>
      </c>
      <c r="H119" s="33">
        <v>1956</v>
      </c>
      <c r="I119" s="33">
        <v>2335</v>
      </c>
      <c r="J119" s="5">
        <v>178.34</v>
      </c>
      <c r="K119" s="40">
        <v>391700</v>
      </c>
      <c r="L119" s="45">
        <v>41.9666666667</v>
      </c>
      <c r="M119" s="41">
        <v>2</v>
      </c>
      <c r="N119" s="32">
        <f>Rådatakommune[[#This Row],[B15-O]]/Rådatakommune[[#This Row],[Totalareal2015-O]]</f>
        <v>51.300885948188849</v>
      </c>
      <c r="O119" s="34">
        <f>Rådatakommune[[#This Row],[B15-O]]/Rådatakommune[[#This Row],[B05-O]]-1</f>
        <v>0.18972691807542263</v>
      </c>
      <c r="P119" s="34">
        <f>Rådatakommune[[#This Row],[Kvinner20-39-O]]/Rådatakommune[[#This Row],[B15-O]]</f>
        <v>0.11651546617116625</v>
      </c>
      <c r="Q119" s="34">
        <f>Rådatakommune[[#This Row],[Eldre67+-O]]/Rådatakommune[[#This Row],[B15-O]]</f>
        <v>0.14001530221882172</v>
      </c>
      <c r="R119" s="34">
        <f>Rådatakommune[[#This Row],[S14-O]]/Rådatakommune[[#This Row],[S04-O]]-1</f>
        <v>0.19376278118609402</v>
      </c>
      <c r="S119" s="34">
        <f>Rådatakommune[[#This Row],[Y14-O]]/Rådatakommune[[#This Row],[Folk20-64-O]]</f>
        <v>0.86947487721949379</v>
      </c>
    </row>
    <row r="120" spans="1:19" x14ac:dyDescent="0.25">
      <c r="A120" s="2" t="s">
        <v>118</v>
      </c>
      <c r="B120" s="37">
        <v>3048</v>
      </c>
      <c r="C120" s="36">
        <v>3114</v>
      </c>
      <c r="D120" s="33">
        <v>1585</v>
      </c>
      <c r="E120" s="38">
        <v>455</v>
      </c>
      <c r="F120" s="39">
        <v>337</v>
      </c>
      <c r="G120">
        <v>1788</v>
      </c>
      <c r="H120" s="33">
        <v>879</v>
      </c>
      <c r="I120" s="33">
        <v>991</v>
      </c>
      <c r="J120" s="5">
        <v>163.12</v>
      </c>
      <c r="K120" s="40">
        <v>383300</v>
      </c>
      <c r="L120" s="45">
        <v>51.383333333300001</v>
      </c>
      <c r="M120" s="41">
        <v>2</v>
      </c>
      <c r="N120" s="32">
        <f>Rådatakommune[[#This Row],[B15-O]]/Rådatakommune[[#This Row],[Totalareal2015-O]]</f>
        <v>19.090240313879352</v>
      </c>
      <c r="O120" s="34">
        <f>Rådatakommune[[#This Row],[B15-O]]/Rådatakommune[[#This Row],[B05-O]]-1</f>
        <v>2.1653543307086576E-2</v>
      </c>
      <c r="P120" s="34">
        <f>Rådatakommune[[#This Row],[Kvinner20-39-O]]/Rådatakommune[[#This Row],[B15-O]]</f>
        <v>0.10822093770070648</v>
      </c>
      <c r="Q120" s="34">
        <f>Rådatakommune[[#This Row],[Eldre67+-O]]/Rådatakommune[[#This Row],[B15-O]]</f>
        <v>0.14611432241490044</v>
      </c>
      <c r="R120" s="34">
        <f>Rådatakommune[[#This Row],[S14-O]]/Rådatakommune[[#This Row],[S04-O]]-1</f>
        <v>0.12741751990898753</v>
      </c>
      <c r="S120" s="34">
        <f>Rådatakommune[[#This Row],[Y14-O]]/Rådatakommune[[#This Row],[Folk20-64-O]]</f>
        <v>0.88646532438478742</v>
      </c>
    </row>
    <row r="121" spans="1:19" x14ac:dyDescent="0.25">
      <c r="A121" s="2" t="s">
        <v>119</v>
      </c>
      <c r="B121" s="37">
        <v>8182</v>
      </c>
      <c r="C121" s="36">
        <v>9253</v>
      </c>
      <c r="D121" s="33">
        <v>4891</v>
      </c>
      <c r="E121" s="38">
        <v>1172</v>
      </c>
      <c r="F121" s="39">
        <v>1114</v>
      </c>
      <c r="G121">
        <v>5453</v>
      </c>
      <c r="H121" s="33">
        <v>2582</v>
      </c>
      <c r="I121" s="33">
        <v>3274</v>
      </c>
      <c r="J121" s="5">
        <v>224.66</v>
      </c>
      <c r="K121" s="40">
        <v>380400</v>
      </c>
      <c r="L121" s="45">
        <v>59.516666666699997</v>
      </c>
      <c r="M121" s="41">
        <v>2</v>
      </c>
      <c r="N121" s="32">
        <f>Rådatakommune[[#This Row],[B15-O]]/Rådatakommune[[#This Row],[Totalareal2015-O]]</f>
        <v>41.186682097391618</v>
      </c>
      <c r="O121" s="34">
        <f>Rådatakommune[[#This Row],[B15-O]]/Rådatakommune[[#This Row],[B05-O]]-1</f>
        <v>0.13089709117575166</v>
      </c>
      <c r="P121" s="34">
        <f>Rådatakommune[[#This Row],[Kvinner20-39-O]]/Rådatakommune[[#This Row],[B15-O]]</f>
        <v>0.12039338592888793</v>
      </c>
      <c r="Q121" s="34">
        <f>Rådatakommune[[#This Row],[Eldre67+-O]]/Rådatakommune[[#This Row],[B15-O]]</f>
        <v>0.12666162325732194</v>
      </c>
      <c r="R121" s="34">
        <f>Rådatakommune[[#This Row],[S14-O]]/Rådatakommune[[#This Row],[S04-O]]-1</f>
        <v>0.26800929512006189</v>
      </c>
      <c r="S121" s="34">
        <f>Rådatakommune[[#This Row],[Y14-O]]/Rådatakommune[[#This Row],[Folk20-64-O]]</f>
        <v>0.89693746561525767</v>
      </c>
    </row>
    <row r="122" spans="1:19" x14ac:dyDescent="0.25">
      <c r="A122" s="2" t="s">
        <v>120</v>
      </c>
      <c r="B122" s="37">
        <v>5083</v>
      </c>
      <c r="C122" s="36">
        <v>5860</v>
      </c>
      <c r="D122" s="33">
        <v>3067</v>
      </c>
      <c r="E122" s="38">
        <v>732</v>
      </c>
      <c r="F122" s="39">
        <v>782</v>
      </c>
      <c r="G122">
        <v>3525</v>
      </c>
      <c r="H122" s="33">
        <v>1677</v>
      </c>
      <c r="I122" s="33">
        <v>2074</v>
      </c>
      <c r="J122" s="5">
        <v>185.9</v>
      </c>
      <c r="K122" s="40">
        <v>367400</v>
      </c>
      <c r="L122" s="45">
        <v>72.3</v>
      </c>
      <c r="M122" s="41">
        <v>2</v>
      </c>
      <c r="N122" s="32">
        <f>Rådatakommune[[#This Row],[B15-O]]/Rådatakommune[[#This Row],[Totalareal2015-O]]</f>
        <v>31.522323830016138</v>
      </c>
      <c r="O122" s="34">
        <f>Rådatakommune[[#This Row],[B15-O]]/Rådatakommune[[#This Row],[B05-O]]-1</f>
        <v>0.15286248278575654</v>
      </c>
      <c r="P122" s="34">
        <f>Rådatakommune[[#This Row],[Kvinner20-39-O]]/Rådatakommune[[#This Row],[B15-O]]</f>
        <v>0.13344709897610921</v>
      </c>
      <c r="Q122" s="34">
        <f>Rådatakommune[[#This Row],[Eldre67+-O]]/Rådatakommune[[#This Row],[B15-O]]</f>
        <v>0.12491467576791809</v>
      </c>
      <c r="R122" s="34">
        <f>Rådatakommune[[#This Row],[S14-O]]/Rådatakommune[[#This Row],[S04-O]]-1</f>
        <v>0.2367322599880739</v>
      </c>
      <c r="S122" s="34">
        <f>Rådatakommune[[#This Row],[Y14-O]]/Rådatakommune[[#This Row],[Folk20-64-O]]</f>
        <v>0.87007092198581559</v>
      </c>
    </row>
    <row r="123" spans="1:19" x14ac:dyDescent="0.25">
      <c r="A123" s="2" t="s">
        <v>121</v>
      </c>
      <c r="B123" s="37">
        <v>10014</v>
      </c>
      <c r="C123" s="36">
        <v>11506</v>
      </c>
      <c r="D123" s="33">
        <v>6016</v>
      </c>
      <c r="E123" s="38">
        <v>1440</v>
      </c>
      <c r="F123" s="39">
        <v>1427</v>
      </c>
      <c r="G123">
        <v>6946</v>
      </c>
      <c r="H123" s="33">
        <v>4118</v>
      </c>
      <c r="I123" s="33">
        <v>5649</v>
      </c>
      <c r="J123" s="5">
        <v>118.36</v>
      </c>
      <c r="K123" s="40">
        <v>370800</v>
      </c>
      <c r="L123" s="45">
        <v>69.166666666699996</v>
      </c>
      <c r="M123" s="41">
        <v>2</v>
      </c>
      <c r="N123" s="32">
        <f>Rådatakommune[[#This Row],[B15-O]]/Rådatakommune[[#This Row],[Totalareal2015-O]]</f>
        <v>97.211895910780669</v>
      </c>
      <c r="O123" s="34">
        <f>Rådatakommune[[#This Row],[B15-O]]/Rådatakommune[[#This Row],[B05-O]]-1</f>
        <v>0.14899141202316746</v>
      </c>
      <c r="P123" s="34">
        <f>Rådatakommune[[#This Row],[Kvinner20-39-O]]/Rådatakommune[[#This Row],[B15-O]]</f>
        <v>0.12402224926125499</v>
      </c>
      <c r="Q123" s="34">
        <f>Rådatakommune[[#This Row],[Eldre67+-O]]/Rådatakommune[[#This Row],[B15-O]]</f>
        <v>0.12515209455936033</v>
      </c>
      <c r="R123" s="34">
        <f>Rådatakommune[[#This Row],[S14-O]]/Rådatakommune[[#This Row],[S04-O]]-1</f>
        <v>0.37178241864982997</v>
      </c>
      <c r="S123" s="34">
        <f>Rådatakommune[[#This Row],[Y14-O]]/Rådatakommune[[#This Row],[Folk20-64-O]]</f>
        <v>0.86610999136193489</v>
      </c>
    </row>
    <row r="124" spans="1:19" x14ac:dyDescent="0.25">
      <c r="A124" s="2" t="s">
        <v>122</v>
      </c>
      <c r="B124" s="37">
        <v>20022</v>
      </c>
      <c r="C124" s="36">
        <v>21483</v>
      </c>
      <c r="D124" s="33">
        <v>10530</v>
      </c>
      <c r="E124" s="38">
        <v>3511</v>
      </c>
      <c r="F124" s="39">
        <v>2368</v>
      </c>
      <c r="G124">
        <v>12153</v>
      </c>
      <c r="H124" s="33">
        <v>5239</v>
      </c>
      <c r="I124" s="33">
        <v>6360</v>
      </c>
      <c r="J124" s="5">
        <v>60.56</v>
      </c>
      <c r="K124" s="40">
        <v>420100</v>
      </c>
      <c r="L124" s="45">
        <v>71.966666666699993</v>
      </c>
      <c r="M124" s="41">
        <v>2</v>
      </c>
      <c r="N124" s="32">
        <f>Rådatakommune[[#This Row],[B15-O]]/Rådatakommune[[#This Row],[Totalareal2015-O]]</f>
        <v>354.73910171730512</v>
      </c>
      <c r="O124" s="34">
        <f>Rådatakommune[[#This Row],[B15-O]]/Rådatakommune[[#This Row],[B05-O]]-1</f>
        <v>7.2969733293377192E-2</v>
      </c>
      <c r="P124" s="34">
        <f>Rådatakommune[[#This Row],[Kvinner20-39-O]]/Rådatakommune[[#This Row],[B15-O]]</f>
        <v>0.11022669087185216</v>
      </c>
      <c r="Q124" s="34">
        <f>Rådatakommune[[#This Row],[Eldre67+-O]]/Rådatakommune[[#This Row],[B15-O]]</f>
        <v>0.16343155052832473</v>
      </c>
      <c r="R124" s="34">
        <f>Rådatakommune[[#This Row],[S14-O]]/Rådatakommune[[#This Row],[S04-O]]-1</f>
        <v>0.21397213208627597</v>
      </c>
      <c r="S124" s="34">
        <f>Rådatakommune[[#This Row],[Y14-O]]/Rådatakommune[[#This Row],[Folk20-64-O]]</f>
        <v>0.86645272772155024</v>
      </c>
    </row>
    <row r="125" spans="1:19" x14ac:dyDescent="0.25">
      <c r="A125" s="2" t="s">
        <v>123</v>
      </c>
      <c r="B125" s="37">
        <v>4582</v>
      </c>
      <c r="C125" s="36">
        <v>4962</v>
      </c>
      <c r="D125" s="33">
        <v>2400</v>
      </c>
      <c r="E125" s="38">
        <v>859</v>
      </c>
      <c r="F125" s="39">
        <v>512</v>
      </c>
      <c r="G125">
        <v>2946</v>
      </c>
      <c r="H125" s="33">
        <v>1197</v>
      </c>
      <c r="I125" s="33">
        <v>1348</v>
      </c>
      <c r="J125" s="5">
        <v>39.4</v>
      </c>
      <c r="K125" s="40">
        <v>392700</v>
      </c>
      <c r="L125" s="45">
        <v>86.533333333300007</v>
      </c>
      <c r="M125" s="41">
        <v>3</v>
      </c>
      <c r="N125" s="32">
        <f>Rådatakommune[[#This Row],[B15-O]]/Rådatakommune[[#This Row],[Totalareal2015-O]]</f>
        <v>125.93908629441624</v>
      </c>
      <c r="O125" s="34">
        <f>Rådatakommune[[#This Row],[B15-O]]/Rådatakommune[[#This Row],[B05-O]]-1</f>
        <v>8.2933216935835885E-2</v>
      </c>
      <c r="P125" s="34">
        <f>Rådatakommune[[#This Row],[Kvinner20-39-O]]/Rådatakommune[[#This Row],[B15-O]]</f>
        <v>0.10318419991938735</v>
      </c>
      <c r="Q125" s="34">
        <f>Rådatakommune[[#This Row],[Eldre67+-O]]/Rådatakommune[[#This Row],[B15-O]]</f>
        <v>0.17311567916162837</v>
      </c>
      <c r="R125" s="34">
        <f>Rådatakommune[[#This Row],[S14-O]]/Rådatakommune[[#This Row],[S04-O]]-1</f>
        <v>0.12614870509607345</v>
      </c>
      <c r="S125" s="34">
        <f>Rådatakommune[[#This Row],[Y14-O]]/Rådatakommune[[#This Row],[Folk20-64-O]]</f>
        <v>0.81466395112016299</v>
      </c>
    </row>
    <row r="126" spans="1:19" x14ac:dyDescent="0.25">
      <c r="A126" s="2" t="s">
        <v>124</v>
      </c>
      <c r="B126" s="37">
        <v>2419</v>
      </c>
      <c r="C126" s="36">
        <v>2463</v>
      </c>
      <c r="D126" s="33">
        <v>1268</v>
      </c>
      <c r="E126" s="38">
        <v>383</v>
      </c>
      <c r="F126" s="39">
        <v>262</v>
      </c>
      <c r="G126">
        <v>1450</v>
      </c>
      <c r="H126" s="33">
        <v>768</v>
      </c>
      <c r="I126" s="33">
        <v>1145</v>
      </c>
      <c r="J126" s="5">
        <v>277.69</v>
      </c>
      <c r="K126" s="40">
        <v>374100</v>
      </c>
      <c r="L126" s="45">
        <v>66.566666666700002</v>
      </c>
      <c r="M126" s="41">
        <v>4</v>
      </c>
      <c r="N126" s="32">
        <f>Rådatakommune[[#This Row],[B15-O]]/Rådatakommune[[#This Row],[Totalareal2015-O]]</f>
        <v>8.8696027944830576</v>
      </c>
      <c r="O126" s="34">
        <f>Rådatakommune[[#This Row],[B15-O]]/Rådatakommune[[#This Row],[B05-O]]-1</f>
        <v>1.818933443571713E-2</v>
      </c>
      <c r="P126" s="34">
        <f>Rådatakommune[[#This Row],[Kvinner20-39-O]]/Rådatakommune[[#This Row],[B15-O]]</f>
        <v>0.10637434023548518</v>
      </c>
      <c r="Q126" s="34">
        <f>Rådatakommune[[#This Row],[Eldre67+-O]]/Rådatakommune[[#This Row],[B15-O]]</f>
        <v>0.15550142103126269</v>
      </c>
      <c r="R126" s="34">
        <f>Rådatakommune[[#This Row],[S14-O]]/Rådatakommune[[#This Row],[S04-O]]-1</f>
        <v>0.49088541666666674</v>
      </c>
      <c r="S126" s="34">
        <f>Rådatakommune[[#This Row],[Y14-O]]/Rådatakommune[[#This Row],[Folk20-64-O]]</f>
        <v>0.87448275862068969</v>
      </c>
    </row>
    <row r="127" spans="1:19" x14ac:dyDescent="0.25">
      <c r="A127" s="2" t="s">
        <v>125</v>
      </c>
      <c r="B127" s="37">
        <v>33407</v>
      </c>
      <c r="C127" s="36">
        <v>35755</v>
      </c>
      <c r="D127" s="33">
        <v>17144</v>
      </c>
      <c r="E127" s="38">
        <v>5616</v>
      </c>
      <c r="F127" s="39">
        <v>4222</v>
      </c>
      <c r="G127">
        <v>21028</v>
      </c>
      <c r="H127" s="33">
        <v>16938</v>
      </c>
      <c r="I127" s="33">
        <v>17722</v>
      </c>
      <c r="J127" s="5">
        <v>163.85</v>
      </c>
      <c r="K127" s="40">
        <v>383900</v>
      </c>
      <c r="L127" s="45">
        <v>111.43333333299999</v>
      </c>
      <c r="M127" s="41">
        <v>4</v>
      </c>
      <c r="N127" s="32">
        <f>Rådatakommune[[#This Row],[B15-O]]/Rådatakommune[[#This Row],[Totalareal2015-O]]</f>
        <v>218.21788220933783</v>
      </c>
      <c r="O127" s="34">
        <f>Rådatakommune[[#This Row],[B15-O]]/Rådatakommune[[#This Row],[B05-O]]-1</f>
        <v>7.0284670877361011E-2</v>
      </c>
      <c r="P127" s="34">
        <f>Rådatakommune[[#This Row],[Kvinner20-39-O]]/Rådatakommune[[#This Row],[B15-O]]</f>
        <v>0.11808138721857082</v>
      </c>
      <c r="Q127" s="34">
        <f>Rådatakommune[[#This Row],[Eldre67+-O]]/Rådatakommune[[#This Row],[B15-O]]</f>
        <v>0.15706894140679625</v>
      </c>
      <c r="R127" s="34">
        <f>Rådatakommune[[#This Row],[S14-O]]/Rådatakommune[[#This Row],[S04-O]]-1</f>
        <v>4.6286456488369376E-2</v>
      </c>
      <c r="S127" s="34">
        <f>Rådatakommune[[#This Row],[Y14-O]]/Rådatakommune[[#This Row],[Folk20-64-O]]</f>
        <v>0.8152938938558113</v>
      </c>
    </row>
    <row r="128" spans="1:19" x14ac:dyDescent="0.25">
      <c r="A128" s="2" t="s">
        <v>126</v>
      </c>
      <c r="B128" s="37">
        <v>50676</v>
      </c>
      <c r="C128" s="36">
        <v>53745</v>
      </c>
      <c r="D128" s="33">
        <v>25734</v>
      </c>
      <c r="E128" s="38">
        <v>8328</v>
      </c>
      <c r="F128" s="39">
        <v>6447</v>
      </c>
      <c r="G128">
        <v>31445</v>
      </c>
      <c r="H128" s="33">
        <v>23031</v>
      </c>
      <c r="I128" s="33">
        <v>25236</v>
      </c>
      <c r="J128" s="5">
        <v>778.05000000000007</v>
      </c>
      <c r="K128" s="40">
        <v>370200</v>
      </c>
      <c r="L128" s="45">
        <v>98.966666666699993</v>
      </c>
      <c r="M128" s="41">
        <v>4</v>
      </c>
      <c r="N128" s="32">
        <f>Rådatakommune[[#This Row],[B15-O]]/Rådatakommune[[#This Row],[Totalareal2015-O]]</f>
        <v>69.076537497590124</v>
      </c>
      <c r="O128" s="34">
        <f>Rådatakommune[[#This Row],[B15-O]]/Rådatakommune[[#This Row],[B05-O]]-1</f>
        <v>6.0561212408240639E-2</v>
      </c>
      <c r="P128" s="34">
        <f>Rådatakommune[[#This Row],[Kvinner20-39-O]]/Rådatakommune[[#This Row],[B15-O]]</f>
        <v>0.11995534468322634</v>
      </c>
      <c r="Q128" s="34">
        <f>Rådatakommune[[#This Row],[Eldre67+-O]]/Rådatakommune[[#This Row],[B15-O]]</f>
        <v>0.15495394920457717</v>
      </c>
      <c r="R128" s="34">
        <f>Rådatakommune[[#This Row],[S14-O]]/Rådatakommune[[#This Row],[S04-O]]-1</f>
        <v>9.5740523642047659E-2</v>
      </c>
      <c r="S128" s="34">
        <f>Rådatakommune[[#This Row],[Y14-O]]/Rådatakommune[[#This Row],[Folk20-64-O]]</f>
        <v>0.81838130068373349</v>
      </c>
    </row>
    <row r="129" spans="1:19" x14ac:dyDescent="0.25">
      <c r="A129" s="2" t="s">
        <v>127</v>
      </c>
      <c r="B129" s="37">
        <v>12359</v>
      </c>
      <c r="C129" s="36">
        <v>12599</v>
      </c>
      <c r="D129" s="33">
        <v>5899</v>
      </c>
      <c r="E129" s="38">
        <v>2230</v>
      </c>
      <c r="F129" s="39">
        <v>1427</v>
      </c>
      <c r="G129">
        <v>7202</v>
      </c>
      <c r="H129" s="33">
        <v>5509</v>
      </c>
      <c r="I129" s="33">
        <v>5404</v>
      </c>
      <c r="J129" s="5">
        <v>919.23</v>
      </c>
      <c r="K129" s="40">
        <v>362100</v>
      </c>
      <c r="L129" s="45">
        <v>89.316666666700002</v>
      </c>
      <c r="M129" s="41">
        <v>5</v>
      </c>
      <c r="N129" s="32">
        <f>Rådatakommune[[#This Row],[B15-O]]/Rådatakommune[[#This Row],[Totalareal2015-O]]</f>
        <v>13.706036574089183</v>
      </c>
      <c r="O129" s="34">
        <f>Rådatakommune[[#This Row],[B15-O]]/Rådatakommune[[#This Row],[B05-O]]-1</f>
        <v>1.9419046848450527E-2</v>
      </c>
      <c r="P129" s="34">
        <f>Rådatakommune[[#This Row],[Kvinner20-39-O]]/Rådatakommune[[#This Row],[B15-O]]</f>
        <v>0.11326295737756965</v>
      </c>
      <c r="Q129" s="34">
        <f>Rådatakommune[[#This Row],[Eldre67+-O]]/Rådatakommune[[#This Row],[B15-O]]</f>
        <v>0.17699817445829033</v>
      </c>
      <c r="R129" s="34">
        <f>Rådatakommune[[#This Row],[S14-O]]/Rådatakommune[[#This Row],[S04-O]]-1</f>
        <v>-1.9059720457433316E-2</v>
      </c>
      <c r="S129" s="34">
        <f>Rådatakommune[[#This Row],[Y14-O]]/Rådatakommune[[#This Row],[Folk20-64-O]]</f>
        <v>0.81907803387947797</v>
      </c>
    </row>
    <row r="130" spans="1:19" x14ac:dyDescent="0.25">
      <c r="A130" s="2" t="s">
        <v>128</v>
      </c>
      <c r="B130" s="37">
        <v>2372</v>
      </c>
      <c r="C130" s="36">
        <v>2361</v>
      </c>
      <c r="D130" s="33">
        <v>1207</v>
      </c>
      <c r="E130" s="38">
        <v>375</v>
      </c>
      <c r="F130" s="39">
        <v>288</v>
      </c>
      <c r="G130">
        <v>1329</v>
      </c>
      <c r="H130" s="33">
        <v>459</v>
      </c>
      <c r="I130" s="33">
        <v>488</v>
      </c>
      <c r="J130" s="5">
        <v>213.95999999999998</v>
      </c>
      <c r="K130" s="40">
        <v>364700</v>
      </c>
      <c r="L130" s="45">
        <v>86.066666666700002</v>
      </c>
      <c r="M130" s="41">
        <v>4</v>
      </c>
      <c r="N130" s="32">
        <f>Rådatakommune[[#This Row],[B15-O]]/Rådatakommune[[#This Row],[Totalareal2015-O]]</f>
        <v>11.034772854739204</v>
      </c>
      <c r="O130" s="34">
        <f>Rådatakommune[[#This Row],[B15-O]]/Rådatakommune[[#This Row],[B05-O]]-1</f>
        <v>-4.6374367622259438E-3</v>
      </c>
      <c r="P130" s="34">
        <f>Rådatakommune[[#This Row],[Kvinner20-39-O]]/Rådatakommune[[#This Row],[B15-O]]</f>
        <v>0.12198221092757307</v>
      </c>
      <c r="Q130" s="34">
        <f>Rådatakommune[[#This Row],[Eldre67+-O]]/Rådatakommune[[#This Row],[B15-O]]</f>
        <v>0.15883100381194409</v>
      </c>
      <c r="R130" s="34">
        <f>Rådatakommune[[#This Row],[S14-O]]/Rådatakommune[[#This Row],[S04-O]]-1</f>
        <v>6.3180827886710311E-2</v>
      </c>
      <c r="S130" s="34">
        <f>Rådatakommune[[#This Row],[Y14-O]]/Rådatakommune[[#This Row],[Folk20-64-O]]</f>
        <v>0.90820165537998498</v>
      </c>
    </row>
    <row r="131" spans="1:19" x14ac:dyDescent="0.25">
      <c r="A131" s="2" t="s">
        <v>129</v>
      </c>
      <c r="B131" s="37">
        <v>14154</v>
      </c>
      <c r="C131" s="36">
        <v>14140</v>
      </c>
      <c r="D131" s="33">
        <v>6827</v>
      </c>
      <c r="E131" s="38">
        <v>2242</v>
      </c>
      <c r="F131" s="39">
        <v>1523</v>
      </c>
      <c r="G131">
        <v>8174</v>
      </c>
      <c r="H131" s="33">
        <v>5287</v>
      </c>
      <c r="I131" s="33">
        <v>5022</v>
      </c>
      <c r="J131" s="5">
        <v>304.35000000000002</v>
      </c>
      <c r="K131" s="40">
        <v>388900</v>
      </c>
      <c r="L131" s="45">
        <v>109.616666667</v>
      </c>
      <c r="M131" s="41">
        <v>4</v>
      </c>
      <c r="N131" s="32">
        <f>Rådatakommune[[#This Row],[B15-O]]/Rådatakommune[[#This Row],[Totalareal2015-O]]</f>
        <v>46.459668145227532</v>
      </c>
      <c r="O131" s="34">
        <f>Rådatakommune[[#This Row],[B15-O]]/Rådatakommune[[#This Row],[B05-O]]-1</f>
        <v>-9.8911968348169843E-4</v>
      </c>
      <c r="P131" s="34">
        <f>Rådatakommune[[#This Row],[Kvinner20-39-O]]/Rådatakommune[[#This Row],[B15-O]]</f>
        <v>0.10770862800565771</v>
      </c>
      <c r="Q131" s="34">
        <f>Rådatakommune[[#This Row],[Eldre67+-O]]/Rådatakommune[[#This Row],[B15-O]]</f>
        <v>0.15855728429985855</v>
      </c>
      <c r="R131" s="34">
        <f>Rådatakommune[[#This Row],[S14-O]]/Rådatakommune[[#This Row],[S04-O]]-1</f>
        <v>-5.0122943067902437E-2</v>
      </c>
      <c r="S131" s="34">
        <f>Rådatakommune[[#This Row],[Y14-O]]/Rådatakommune[[#This Row],[Folk20-64-O]]</f>
        <v>0.83520919990212872</v>
      </c>
    </row>
    <row r="132" spans="1:19" x14ac:dyDescent="0.25">
      <c r="A132" s="2" t="s">
        <v>130</v>
      </c>
      <c r="B132" s="37">
        <v>10529</v>
      </c>
      <c r="C132" s="36">
        <v>10636</v>
      </c>
      <c r="D132" s="33">
        <v>4974</v>
      </c>
      <c r="E132" s="38">
        <v>1974</v>
      </c>
      <c r="F132" s="39">
        <v>1078</v>
      </c>
      <c r="G132">
        <v>6010</v>
      </c>
      <c r="H132" s="33">
        <v>4228</v>
      </c>
      <c r="I132" s="33">
        <v>4406</v>
      </c>
      <c r="J132" s="5">
        <v>305.3</v>
      </c>
      <c r="K132" s="40">
        <v>349100</v>
      </c>
      <c r="L132" s="45">
        <v>132.883333333</v>
      </c>
      <c r="M132" s="41">
        <v>4</v>
      </c>
      <c r="N132" s="32">
        <f>Rådatakommune[[#This Row],[B15-O]]/Rådatakommune[[#This Row],[Totalareal2015-O]]</f>
        <v>34.837864395676384</v>
      </c>
      <c r="O132" s="34">
        <f>Rådatakommune[[#This Row],[B15-O]]/Rådatakommune[[#This Row],[B05-O]]-1</f>
        <v>1.0162408585810523E-2</v>
      </c>
      <c r="P132" s="34">
        <f>Rådatakommune[[#This Row],[Kvinner20-39-O]]/Rådatakommune[[#This Row],[B15-O]]</f>
        <v>0.1013538924407672</v>
      </c>
      <c r="Q132" s="34">
        <f>Rådatakommune[[#This Row],[Eldre67+-O]]/Rådatakommune[[#This Row],[B15-O]]</f>
        <v>0.18559608875517111</v>
      </c>
      <c r="R132" s="34">
        <f>Rådatakommune[[#This Row],[S14-O]]/Rådatakommune[[#This Row],[S04-O]]-1</f>
        <v>4.210028382213804E-2</v>
      </c>
      <c r="S132" s="34">
        <f>Rådatakommune[[#This Row],[Y14-O]]/Rådatakommune[[#This Row],[Folk20-64-O]]</f>
        <v>0.82762063227953409</v>
      </c>
    </row>
    <row r="133" spans="1:19" x14ac:dyDescent="0.25">
      <c r="A133" s="2" t="s">
        <v>131</v>
      </c>
      <c r="B133" s="37">
        <v>4143</v>
      </c>
      <c r="C133" s="36">
        <v>4111</v>
      </c>
      <c r="D133" s="33">
        <v>1959</v>
      </c>
      <c r="E133" s="38">
        <v>742</v>
      </c>
      <c r="F133" s="39">
        <v>421</v>
      </c>
      <c r="G133">
        <v>2292</v>
      </c>
      <c r="H133" s="33">
        <v>1142</v>
      </c>
      <c r="I133" s="33">
        <v>1257</v>
      </c>
      <c r="J133" s="5">
        <v>1062.78</v>
      </c>
      <c r="K133" s="40">
        <v>343200</v>
      </c>
      <c r="L133" s="45">
        <v>140.85</v>
      </c>
      <c r="M133" s="41">
        <v>4</v>
      </c>
      <c r="N133" s="32">
        <f>Rådatakommune[[#This Row],[B15-O]]/Rådatakommune[[#This Row],[Totalareal2015-O]]</f>
        <v>3.868157097423738</v>
      </c>
      <c r="O133" s="34">
        <f>Rådatakommune[[#This Row],[B15-O]]/Rådatakommune[[#This Row],[B05-O]]-1</f>
        <v>-7.7238715906348121E-3</v>
      </c>
      <c r="P133" s="34">
        <f>Rådatakommune[[#This Row],[Kvinner20-39-O]]/Rådatakommune[[#This Row],[B15-O]]</f>
        <v>0.10240817319387011</v>
      </c>
      <c r="Q133" s="34">
        <f>Rådatakommune[[#This Row],[Eldre67+-O]]/Rådatakommune[[#This Row],[B15-O]]</f>
        <v>0.18049136463147653</v>
      </c>
      <c r="R133" s="34">
        <f>Rådatakommune[[#This Row],[S14-O]]/Rådatakommune[[#This Row],[S04-O]]-1</f>
        <v>0.10070052539404561</v>
      </c>
      <c r="S133" s="34">
        <f>Rådatakommune[[#This Row],[Y14-O]]/Rådatakommune[[#This Row],[Folk20-64-O]]</f>
        <v>0.85471204188481675</v>
      </c>
    </row>
    <row r="134" spans="1:19" x14ac:dyDescent="0.25">
      <c r="A134" s="2" t="s">
        <v>132</v>
      </c>
      <c r="B134" s="37">
        <v>6565</v>
      </c>
      <c r="C134" s="36">
        <v>6630</v>
      </c>
      <c r="D134" s="33">
        <v>3101</v>
      </c>
      <c r="E134" s="38">
        <v>1215</v>
      </c>
      <c r="F134" s="39">
        <v>669</v>
      </c>
      <c r="G134">
        <v>3708</v>
      </c>
      <c r="H134" s="33">
        <v>2259</v>
      </c>
      <c r="I134" s="33">
        <v>2435</v>
      </c>
      <c r="J134" s="5">
        <v>429.69</v>
      </c>
      <c r="K134" s="40">
        <v>346900</v>
      </c>
      <c r="L134" s="45">
        <v>125.616666667</v>
      </c>
      <c r="M134" s="41">
        <v>4</v>
      </c>
      <c r="N134" s="32">
        <f>Rådatakommune[[#This Row],[B15-O]]/Rådatakommune[[#This Row],[Totalareal2015-O]]</f>
        <v>15.429728408852894</v>
      </c>
      <c r="O134" s="34">
        <f>Rådatakommune[[#This Row],[B15-O]]/Rådatakommune[[#This Row],[B05-O]]-1</f>
        <v>9.9009900990099098E-3</v>
      </c>
      <c r="P134" s="34">
        <f>Rådatakommune[[#This Row],[Kvinner20-39-O]]/Rådatakommune[[#This Row],[B15-O]]</f>
        <v>0.10090497737556561</v>
      </c>
      <c r="Q134" s="34">
        <f>Rådatakommune[[#This Row],[Eldre67+-O]]/Rådatakommune[[#This Row],[B15-O]]</f>
        <v>0.18325791855203619</v>
      </c>
      <c r="R134" s="34">
        <f>Rådatakommune[[#This Row],[S14-O]]/Rådatakommune[[#This Row],[S04-O]]-1</f>
        <v>7.7910579902611854E-2</v>
      </c>
      <c r="S134" s="34">
        <f>Rådatakommune[[#This Row],[Y14-O]]/Rådatakommune[[#This Row],[Folk20-64-O]]</f>
        <v>0.83629989212513489</v>
      </c>
    </row>
    <row r="135" spans="1:19" x14ac:dyDescent="0.25">
      <c r="A135" s="2" t="s">
        <v>133</v>
      </c>
      <c r="B135" s="37">
        <v>5249</v>
      </c>
      <c r="C135" s="36">
        <v>5977</v>
      </c>
      <c r="D135" s="33">
        <v>2841</v>
      </c>
      <c r="E135" s="38">
        <v>915</v>
      </c>
      <c r="F135" s="39">
        <v>841</v>
      </c>
      <c r="G135">
        <v>3525</v>
      </c>
      <c r="H135" s="33">
        <v>2541</v>
      </c>
      <c r="I135" s="33">
        <v>2770</v>
      </c>
      <c r="J135" s="5">
        <v>263.20999999999998</v>
      </c>
      <c r="K135" s="40">
        <v>346900</v>
      </c>
      <c r="L135" s="45">
        <v>114.983333333</v>
      </c>
      <c r="M135" s="41">
        <v>5</v>
      </c>
      <c r="N135" s="32">
        <f>Rådatakommune[[#This Row],[B15-O]]/Rådatakommune[[#This Row],[Totalareal2015-O]]</f>
        <v>22.708103795448501</v>
      </c>
      <c r="O135" s="34">
        <f>Rådatakommune[[#This Row],[B15-O]]/Rådatakommune[[#This Row],[B05-O]]-1</f>
        <v>0.13869308439702799</v>
      </c>
      <c r="P135" s="34">
        <f>Rådatakommune[[#This Row],[Kvinner20-39-O]]/Rådatakommune[[#This Row],[B15-O]]</f>
        <v>0.14070603981930735</v>
      </c>
      <c r="Q135" s="34">
        <f>Rådatakommune[[#This Row],[Eldre67+-O]]/Rådatakommune[[#This Row],[B15-O]]</f>
        <v>0.15308683285929395</v>
      </c>
      <c r="R135" s="34">
        <f>Rådatakommune[[#This Row],[S14-O]]/Rådatakommune[[#This Row],[S04-O]]-1</f>
        <v>9.012199921290831E-2</v>
      </c>
      <c r="S135" s="34">
        <f>Rådatakommune[[#This Row],[Y14-O]]/Rådatakommune[[#This Row],[Folk20-64-O]]</f>
        <v>0.80595744680851067</v>
      </c>
    </row>
    <row r="136" spans="1:19" x14ac:dyDescent="0.25">
      <c r="A136" s="2" t="s">
        <v>134</v>
      </c>
      <c r="B136" s="37">
        <v>4323</v>
      </c>
      <c r="C136" s="36">
        <v>4346</v>
      </c>
      <c r="D136" s="33">
        <v>2127</v>
      </c>
      <c r="E136" s="38">
        <v>757</v>
      </c>
      <c r="F136" s="39">
        <v>480</v>
      </c>
      <c r="G136">
        <v>2491</v>
      </c>
      <c r="H136" s="33">
        <v>1306</v>
      </c>
      <c r="I136" s="33">
        <v>1367</v>
      </c>
      <c r="J136" s="5">
        <v>320.54000000000002</v>
      </c>
      <c r="K136" s="40">
        <v>357600</v>
      </c>
      <c r="L136" s="45">
        <v>115.05</v>
      </c>
      <c r="M136" s="41">
        <v>5</v>
      </c>
      <c r="N136" s="32">
        <f>Rådatakommune[[#This Row],[B15-O]]/Rådatakommune[[#This Row],[Totalareal2015-O]]</f>
        <v>13.558370250202781</v>
      </c>
      <c r="O136" s="34">
        <f>Rådatakommune[[#This Row],[B15-O]]/Rådatakommune[[#This Row],[B05-O]]-1</f>
        <v>5.3203793661809051E-3</v>
      </c>
      <c r="P136" s="34">
        <f>Rådatakommune[[#This Row],[Kvinner20-39-O]]/Rådatakommune[[#This Row],[B15-O]]</f>
        <v>0.11044638748274276</v>
      </c>
      <c r="Q136" s="34">
        <f>Rådatakommune[[#This Row],[Eldre67+-O]]/Rådatakommune[[#This Row],[B15-O]]</f>
        <v>0.17418315692590888</v>
      </c>
      <c r="R136" s="34">
        <f>Rådatakommune[[#This Row],[S14-O]]/Rådatakommune[[#This Row],[S04-O]]-1</f>
        <v>4.6707503828483876E-2</v>
      </c>
      <c r="S136" s="34">
        <f>Rådatakommune[[#This Row],[Y14-O]]/Rådatakommune[[#This Row],[Folk20-64-O]]</f>
        <v>0.85387394620634283</v>
      </c>
    </row>
    <row r="137" spans="1:19" x14ac:dyDescent="0.25">
      <c r="A137" s="2" t="s">
        <v>135</v>
      </c>
      <c r="B137" s="37">
        <v>6380</v>
      </c>
      <c r="C137" s="36">
        <v>5913</v>
      </c>
      <c r="D137" s="33">
        <v>2945</v>
      </c>
      <c r="E137" s="38">
        <v>1092</v>
      </c>
      <c r="F137" s="39">
        <v>528</v>
      </c>
      <c r="G137">
        <v>3304</v>
      </c>
      <c r="H137" s="33">
        <v>2801</v>
      </c>
      <c r="I137" s="33">
        <v>2877</v>
      </c>
      <c r="J137" s="5">
        <v>2044.94</v>
      </c>
      <c r="K137" s="40">
        <v>365900</v>
      </c>
      <c r="L137" s="45">
        <v>136.55000000000001</v>
      </c>
      <c r="M137" s="41">
        <v>9</v>
      </c>
      <c r="N137" s="32">
        <f>Rådatakommune[[#This Row],[B15-O]]/Rådatakommune[[#This Row],[Totalareal2015-O]]</f>
        <v>2.8915273797764236</v>
      </c>
      <c r="O137" s="34">
        <f>Rådatakommune[[#This Row],[B15-O]]/Rådatakommune[[#This Row],[B05-O]]-1</f>
        <v>-7.3197492163009414E-2</v>
      </c>
      <c r="P137" s="34">
        <f>Rådatakommune[[#This Row],[Kvinner20-39-O]]/Rådatakommune[[#This Row],[B15-O]]</f>
        <v>8.9294774226281071E-2</v>
      </c>
      <c r="Q137" s="34">
        <f>Rådatakommune[[#This Row],[Eldre67+-O]]/Rådatakommune[[#This Row],[B15-O]]</f>
        <v>0.18467782851344494</v>
      </c>
      <c r="R137" s="34">
        <f>Rådatakommune[[#This Row],[S14-O]]/Rådatakommune[[#This Row],[S04-O]]-1</f>
        <v>2.7133166726169167E-2</v>
      </c>
      <c r="S137" s="34">
        <f>Rådatakommune[[#This Row],[Y14-O]]/Rådatakommune[[#This Row],[Folk20-64-O]]</f>
        <v>0.89134382566585957</v>
      </c>
    </row>
    <row r="138" spans="1:19" x14ac:dyDescent="0.25">
      <c r="A138" s="2" t="s">
        <v>136</v>
      </c>
      <c r="B138" s="37">
        <v>1633</v>
      </c>
      <c r="C138" s="36">
        <v>1594</v>
      </c>
      <c r="D138" s="33">
        <v>828</v>
      </c>
      <c r="E138" s="38">
        <v>331</v>
      </c>
      <c r="F138" s="39">
        <v>159</v>
      </c>
      <c r="G138">
        <v>856</v>
      </c>
      <c r="H138" s="33">
        <v>546</v>
      </c>
      <c r="I138" s="33">
        <v>586</v>
      </c>
      <c r="J138" s="5">
        <v>791.23</v>
      </c>
      <c r="K138" s="40">
        <v>360100</v>
      </c>
      <c r="L138" s="45">
        <v>108.483333333</v>
      </c>
      <c r="M138" s="41">
        <v>5</v>
      </c>
      <c r="N138" s="32">
        <f>Rådatakommune[[#This Row],[B15-O]]/Rådatakommune[[#This Row],[Totalareal2015-O]]</f>
        <v>2.0145848868217837</v>
      </c>
      <c r="O138" s="34">
        <f>Rådatakommune[[#This Row],[B15-O]]/Rådatakommune[[#This Row],[B05-O]]-1</f>
        <v>-2.3882424984690731E-2</v>
      </c>
      <c r="P138" s="34">
        <f>Rådatakommune[[#This Row],[Kvinner20-39-O]]/Rådatakommune[[#This Row],[B15-O]]</f>
        <v>9.974905897114178E-2</v>
      </c>
      <c r="Q138" s="34">
        <f>Rådatakommune[[#This Row],[Eldre67+-O]]/Rådatakommune[[#This Row],[B15-O]]</f>
        <v>0.20765370138017566</v>
      </c>
      <c r="R138" s="34">
        <f>Rådatakommune[[#This Row],[S14-O]]/Rådatakommune[[#This Row],[S04-O]]-1</f>
        <v>7.3260073260073222E-2</v>
      </c>
      <c r="S138" s="34">
        <f>Rådatakommune[[#This Row],[Y14-O]]/Rådatakommune[[#This Row],[Folk20-64-O]]</f>
        <v>0.96728971962616828</v>
      </c>
    </row>
    <row r="139" spans="1:19" x14ac:dyDescent="0.25">
      <c r="A139" s="2" t="s">
        <v>137</v>
      </c>
      <c r="B139" s="37">
        <v>2919</v>
      </c>
      <c r="C139" s="36">
        <v>3002</v>
      </c>
      <c r="D139" s="33">
        <v>1517</v>
      </c>
      <c r="E139" s="38">
        <v>550</v>
      </c>
      <c r="F139" s="39">
        <v>303</v>
      </c>
      <c r="G139">
        <v>1677</v>
      </c>
      <c r="H139" s="33">
        <v>1416</v>
      </c>
      <c r="I139" s="33">
        <v>1600</v>
      </c>
      <c r="J139" s="5">
        <v>715.09</v>
      </c>
      <c r="K139" s="40">
        <v>361300</v>
      </c>
      <c r="L139" s="45">
        <v>135.55000000000001</v>
      </c>
      <c r="M139" s="41">
        <v>10</v>
      </c>
      <c r="N139" s="32">
        <f>Rådatakommune[[#This Row],[B15-O]]/Rådatakommune[[#This Row],[Totalareal2015-O]]</f>
        <v>4.1980729698359642</v>
      </c>
      <c r="O139" s="34">
        <f>Rådatakommune[[#This Row],[B15-O]]/Rådatakommune[[#This Row],[B05-O]]-1</f>
        <v>2.8434395340870111E-2</v>
      </c>
      <c r="P139" s="34">
        <f>Rådatakommune[[#This Row],[Kvinner20-39-O]]/Rådatakommune[[#This Row],[B15-O]]</f>
        <v>0.10093271152564957</v>
      </c>
      <c r="Q139" s="34">
        <f>Rådatakommune[[#This Row],[Eldre67+-O]]/Rådatakommune[[#This Row],[B15-O]]</f>
        <v>0.18321119253830778</v>
      </c>
      <c r="R139" s="34">
        <f>Rådatakommune[[#This Row],[S14-O]]/Rådatakommune[[#This Row],[S04-O]]-1</f>
        <v>0.12994350282485878</v>
      </c>
      <c r="S139" s="34">
        <f>Rådatakommune[[#This Row],[Y14-O]]/Rådatakommune[[#This Row],[Folk20-64-O]]</f>
        <v>0.90459153249850921</v>
      </c>
    </row>
    <row r="140" spans="1:19" x14ac:dyDescent="0.25">
      <c r="A140" s="2" t="s">
        <v>138</v>
      </c>
      <c r="B140" s="37">
        <v>2598</v>
      </c>
      <c r="C140" s="36">
        <v>2466</v>
      </c>
      <c r="D140" s="33">
        <v>1323</v>
      </c>
      <c r="E140" s="38">
        <v>472</v>
      </c>
      <c r="F140" s="39">
        <v>218</v>
      </c>
      <c r="G140">
        <v>1423</v>
      </c>
      <c r="H140" s="33">
        <v>1084</v>
      </c>
      <c r="I140" s="33">
        <v>1195</v>
      </c>
      <c r="J140" s="5">
        <v>708.46</v>
      </c>
      <c r="K140" s="40">
        <v>355000</v>
      </c>
      <c r="L140" s="45">
        <v>148.633333333</v>
      </c>
      <c r="M140" s="41">
        <v>10</v>
      </c>
      <c r="N140" s="32">
        <f>Rådatakommune[[#This Row],[B15-O]]/Rådatakommune[[#This Row],[Totalareal2015-O]]</f>
        <v>3.4807893176749567</v>
      </c>
      <c r="O140" s="34">
        <f>Rådatakommune[[#This Row],[B15-O]]/Rådatakommune[[#This Row],[B05-O]]-1</f>
        <v>-5.0808314087759765E-2</v>
      </c>
      <c r="P140" s="34">
        <f>Rådatakommune[[#This Row],[Kvinner20-39-O]]/Rådatakommune[[#This Row],[B15-O]]</f>
        <v>8.8402270884022707E-2</v>
      </c>
      <c r="Q140" s="34">
        <f>Rådatakommune[[#This Row],[Eldre67+-O]]/Rådatakommune[[#This Row],[B15-O]]</f>
        <v>0.19140308191403083</v>
      </c>
      <c r="R140" s="34">
        <f>Rådatakommune[[#This Row],[S14-O]]/Rådatakommune[[#This Row],[S04-O]]-1</f>
        <v>0.10239852398523985</v>
      </c>
      <c r="S140" s="34">
        <f>Rådatakommune[[#This Row],[Y14-O]]/Rådatakommune[[#This Row],[Folk20-64-O]]</f>
        <v>0.92972593113141255</v>
      </c>
    </row>
    <row r="141" spans="1:19" x14ac:dyDescent="0.25">
      <c r="A141" s="2" t="s">
        <v>139</v>
      </c>
      <c r="B141" s="37">
        <v>1408</v>
      </c>
      <c r="C141" s="36">
        <v>1439</v>
      </c>
      <c r="D141" s="33">
        <v>767</v>
      </c>
      <c r="E141" s="38">
        <v>240</v>
      </c>
      <c r="F141" s="39">
        <v>150</v>
      </c>
      <c r="G141">
        <v>834</v>
      </c>
      <c r="H141" s="33">
        <v>532</v>
      </c>
      <c r="I141" s="33">
        <v>653</v>
      </c>
      <c r="J141" s="5">
        <v>905.18</v>
      </c>
      <c r="K141" s="40">
        <v>362500</v>
      </c>
      <c r="L141" s="45">
        <v>172.9</v>
      </c>
      <c r="M141" s="41">
        <v>11</v>
      </c>
      <c r="N141" s="32">
        <f>Rådatakommune[[#This Row],[B15-O]]/Rådatakommune[[#This Row],[Totalareal2015-O]]</f>
        <v>1.5897390574250425</v>
      </c>
      <c r="O141" s="34">
        <f>Rådatakommune[[#This Row],[B15-O]]/Rådatakommune[[#This Row],[B05-O]]-1</f>
        <v>2.2017045454545414E-2</v>
      </c>
      <c r="P141" s="34">
        <f>Rådatakommune[[#This Row],[Kvinner20-39-O]]/Rådatakommune[[#This Row],[B15-O]]</f>
        <v>0.10423905489923559</v>
      </c>
      <c r="Q141" s="34">
        <f>Rådatakommune[[#This Row],[Eldre67+-O]]/Rådatakommune[[#This Row],[B15-O]]</f>
        <v>0.16678248783877692</v>
      </c>
      <c r="R141" s="34">
        <f>Rådatakommune[[#This Row],[S14-O]]/Rådatakommune[[#This Row],[S04-O]]-1</f>
        <v>0.22744360902255645</v>
      </c>
      <c r="S141" s="34">
        <f>Rådatakommune[[#This Row],[Y14-O]]/Rådatakommune[[#This Row],[Folk20-64-O]]</f>
        <v>0.91966426858513195</v>
      </c>
    </row>
    <row r="142" spans="1:19" x14ac:dyDescent="0.25">
      <c r="A142" s="2" t="s">
        <v>140</v>
      </c>
      <c r="B142" s="37">
        <v>1353</v>
      </c>
      <c r="C142" s="36">
        <v>1298</v>
      </c>
      <c r="D142" s="33">
        <v>643</v>
      </c>
      <c r="E142" s="38">
        <v>226</v>
      </c>
      <c r="F142" s="39">
        <v>135</v>
      </c>
      <c r="G142">
        <v>731</v>
      </c>
      <c r="H142" s="33">
        <v>539</v>
      </c>
      <c r="I142" s="33">
        <v>535</v>
      </c>
      <c r="J142" s="5">
        <v>1280.1399999999999</v>
      </c>
      <c r="K142" s="40">
        <v>344200</v>
      </c>
      <c r="L142" s="45">
        <v>194</v>
      </c>
      <c r="M142" s="41">
        <v>11</v>
      </c>
      <c r="N142" s="32">
        <f>Rådatakommune[[#This Row],[B15-O]]/Rådatakommune[[#This Row],[Totalareal2015-O]]</f>
        <v>1.0139515990438548</v>
      </c>
      <c r="O142" s="34">
        <f>Rådatakommune[[#This Row],[B15-O]]/Rådatakommune[[#This Row],[B05-O]]-1</f>
        <v>-4.065040650406504E-2</v>
      </c>
      <c r="P142" s="34">
        <f>Rådatakommune[[#This Row],[Kvinner20-39-O]]/Rådatakommune[[#This Row],[B15-O]]</f>
        <v>0.10400616332819723</v>
      </c>
      <c r="Q142" s="34">
        <f>Rådatakommune[[#This Row],[Eldre67+-O]]/Rådatakommune[[#This Row],[B15-O]]</f>
        <v>0.17411402157164868</v>
      </c>
      <c r="R142" s="34">
        <f>Rådatakommune[[#This Row],[S14-O]]/Rådatakommune[[#This Row],[S04-O]]-1</f>
        <v>-7.4211502782931538E-3</v>
      </c>
      <c r="S142" s="34">
        <f>Rådatakommune[[#This Row],[Y14-O]]/Rådatakommune[[#This Row],[Folk20-64-O]]</f>
        <v>0.87961696306429549</v>
      </c>
    </row>
    <row r="143" spans="1:19" x14ac:dyDescent="0.25">
      <c r="A143" s="2" t="s">
        <v>141</v>
      </c>
      <c r="B143" s="37">
        <v>2463</v>
      </c>
      <c r="C143" s="36">
        <v>2252</v>
      </c>
      <c r="D143" s="33">
        <v>1179</v>
      </c>
      <c r="E143" s="38">
        <v>421</v>
      </c>
      <c r="F143" s="39">
        <v>191</v>
      </c>
      <c r="G143">
        <v>1262</v>
      </c>
      <c r="H143" s="33">
        <v>1048</v>
      </c>
      <c r="I143" s="33">
        <v>1024</v>
      </c>
      <c r="J143" s="5">
        <v>984.48</v>
      </c>
      <c r="K143" s="40">
        <v>378200</v>
      </c>
      <c r="L143" s="45">
        <v>175.6</v>
      </c>
      <c r="M143" s="41">
        <v>10</v>
      </c>
      <c r="N143" s="32">
        <f>Rådatakommune[[#This Row],[B15-O]]/Rådatakommune[[#This Row],[Totalareal2015-O]]</f>
        <v>2.2875020315293351</v>
      </c>
      <c r="O143" s="34">
        <f>Rådatakommune[[#This Row],[B15-O]]/Rådatakommune[[#This Row],[B05-O]]-1</f>
        <v>-8.5667884693463203E-2</v>
      </c>
      <c r="P143" s="34">
        <f>Rådatakommune[[#This Row],[Kvinner20-39-O]]/Rådatakommune[[#This Row],[B15-O]]</f>
        <v>8.4813499111900531E-2</v>
      </c>
      <c r="Q143" s="34">
        <f>Rådatakommune[[#This Row],[Eldre67+-O]]/Rådatakommune[[#This Row],[B15-O]]</f>
        <v>0.18694493783303731</v>
      </c>
      <c r="R143" s="34">
        <f>Rådatakommune[[#This Row],[S14-O]]/Rådatakommune[[#This Row],[S04-O]]-1</f>
        <v>-2.2900763358778664E-2</v>
      </c>
      <c r="S143" s="34">
        <f>Rådatakommune[[#This Row],[Y14-O]]/Rådatakommune[[#This Row],[Folk20-64-O]]</f>
        <v>0.93423137876386686</v>
      </c>
    </row>
    <row r="144" spans="1:19" x14ac:dyDescent="0.25">
      <c r="A144" s="2" t="s">
        <v>142</v>
      </c>
      <c r="B144" s="37">
        <v>3758</v>
      </c>
      <c r="C144" s="36">
        <v>3689</v>
      </c>
      <c r="D144" s="33">
        <v>2065</v>
      </c>
      <c r="E144" s="38">
        <v>647</v>
      </c>
      <c r="F144" s="39">
        <v>389</v>
      </c>
      <c r="G144">
        <v>2092</v>
      </c>
      <c r="H144" s="33">
        <v>1678</v>
      </c>
      <c r="I144" s="33">
        <v>1702</v>
      </c>
      <c r="J144" s="5">
        <v>3105.84</v>
      </c>
      <c r="K144" s="40">
        <v>380700</v>
      </c>
      <c r="L144" s="45">
        <v>168.283333333</v>
      </c>
      <c r="M144" s="41">
        <v>10</v>
      </c>
      <c r="N144" s="32">
        <f>Rådatakommune[[#This Row],[B15-O]]/Rådatakommune[[#This Row],[Totalareal2015-O]]</f>
        <v>1.1877624088813332</v>
      </c>
      <c r="O144" s="34">
        <f>Rådatakommune[[#This Row],[B15-O]]/Rådatakommune[[#This Row],[B05-O]]-1</f>
        <v>-1.836083022884516E-2</v>
      </c>
      <c r="P144" s="34">
        <f>Rådatakommune[[#This Row],[Kvinner20-39-O]]/Rådatakommune[[#This Row],[B15-O]]</f>
        <v>0.10544863106532935</v>
      </c>
      <c r="Q144" s="34">
        <f>Rådatakommune[[#This Row],[Eldre67+-O]]/Rådatakommune[[#This Row],[B15-O]]</f>
        <v>0.17538628354567634</v>
      </c>
      <c r="R144" s="34">
        <f>Rådatakommune[[#This Row],[S14-O]]/Rådatakommune[[#This Row],[S04-O]]-1</f>
        <v>1.4302741358760418E-2</v>
      </c>
      <c r="S144" s="34">
        <f>Rådatakommune[[#This Row],[Y14-O]]/Rådatakommune[[#This Row],[Folk20-64-O]]</f>
        <v>0.98709369024856597</v>
      </c>
    </row>
    <row r="145" spans="1:19" x14ac:dyDescent="0.25">
      <c r="A145" s="2" t="s">
        <v>143</v>
      </c>
      <c r="B145" s="37">
        <v>6909</v>
      </c>
      <c r="C145" s="36">
        <v>6909</v>
      </c>
      <c r="D145" s="33">
        <v>3158</v>
      </c>
      <c r="E145" s="38">
        <v>1224</v>
      </c>
      <c r="F145" s="39">
        <v>702</v>
      </c>
      <c r="G145">
        <v>3902</v>
      </c>
      <c r="H145" s="33">
        <v>2550</v>
      </c>
      <c r="I145" s="33">
        <v>2738</v>
      </c>
      <c r="J145" s="5">
        <v>192.98</v>
      </c>
      <c r="K145" s="40">
        <v>354700</v>
      </c>
      <c r="L145" s="45">
        <v>159.41666666699999</v>
      </c>
      <c r="M145" s="41">
        <v>5</v>
      </c>
      <c r="N145" s="32">
        <f>Rådatakommune[[#This Row],[B15-O]]/Rådatakommune[[#This Row],[Totalareal2015-O]]</f>
        <v>35.801637475386052</v>
      </c>
      <c r="O145" s="34">
        <f>Rådatakommune[[#This Row],[B15-O]]/Rådatakommune[[#This Row],[B05-O]]-1</f>
        <v>0</v>
      </c>
      <c r="P145" s="34">
        <f>Rådatakommune[[#This Row],[Kvinner20-39-O]]/Rådatakommune[[#This Row],[B15-O]]</f>
        <v>0.10160660008684325</v>
      </c>
      <c r="Q145" s="34">
        <f>Rådatakommune[[#This Row],[Eldre67+-O]]/Rådatakommune[[#This Row],[B15-O]]</f>
        <v>0.17716022579244464</v>
      </c>
      <c r="R145" s="34">
        <f>Rådatakommune[[#This Row],[S14-O]]/Rådatakommune[[#This Row],[S04-O]]-1</f>
        <v>7.3725490196078436E-2</v>
      </c>
      <c r="S145" s="34">
        <f>Rådatakommune[[#This Row],[Y14-O]]/Rådatakommune[[#This Row],[Folk20-64-O]]</f>
        <v>0.80932854946181443</v>
      </c>
    </row>
    <row r="146" spans="1:19" x14ac:dyDescent="0.25">
      <c r="A146" s="2" t="s">
        <v>144</v>
      </c>
      <c r="B146" s="37">
        <v>18885</v>
      </c>
      <c r="C146" s="36">
        <v>22098</v>
      </c>
      <c r="D146" s="33">
        <v>10691</v>
      </c>
      <c r="E146" s="38">
        <v>2918</v>
      </c>
      <c r="F146" s="39">
        <v>2830</v>
      </c>
      <c r="G146">
        <v>12842</v>
      </c>
      <c r="H146" s="33">
        <v>7709</v>
      </c>
      <c r="I146" s="33">
        <v>8536</v>
      </c>
      <c r="J146" s="5">
        <v>303.59000000000003</v>
      </c>
      <c r="K146" s="40">
        <v>395100</v>
      </c>
      <c r="L146" s="45">
        <v>175.76666666670002</v>
      </c>
      <c r="M146" s="41">
        <v>4</v>
      </c>
      <c r="N146" s="32">
        <f>Rådatakommune[[#This Row],[B15-O]]/Rådatakommune[[#This Row],[Totalareal2015-O]]</f>
        <v>72.788958793109117</v>
      </c>
      <c r="O146" s="34">
        <f>Rådatakommune[[#This Row],[B15-O]]/Rådatakommune[[#This Row],[B05-O]]-1</f>
        <v>0.17013502779984124</v>
      </c>
      <c r="P146" s="34">
        <f>Rådatakommune[[#This Row],[Kvinner20-39-O]]/Rådatakommune[[#This Row],[B15-O]]</f>
        <v>0.12806588831568469</v>
      </c>
      <c r="Q146" s="34">
        <f>Rådatakommune[[#This Row],[Eldre67+-O]]/Rådatakommune[[#This Row],[B15-O]]</f>
        <v>0.13204814915376958</v>
      </c>
      <c r="R146" s="34">
        <f>Rådatakommune[[#This Row],[S14-O]]/Rådatakommune[[#This Row],[S04-O]]-1</f>
        <v>0.10727720845764699</v>
      </c>
      <c r="S146" s="34">
        <f>Rådatakommune[[#This Row],[Y14-O]]/Rådatakommune[[#This Row],[Folk20-64-O]]</f>
        <v>0.83250272543217563</v>
      </c>
    </row>
    <row r="147" spans="1:19" x14ac:dyDescent="0.25">
      <c r="A147" s="2" t="s">
        <v>145</v>
      </c>
      <c r="B147" s="37">
        <v>39676</v>
      </c>
      <c r="C147" s="36">
        <v>44219</v>
      </c>
      <c r="D147" s="33">
        <v>21080</v>
      </c>
      <c r="E147" s="38">
        <v>6400</v>
      </c>
      <c r="F147" s="39">
        <v>5366</v>
      </c>
      <c r="G147">
        <v>25987</v>
      </c>
      <c r="H147" s="33">
        <v>19192</v>
      </c>
      <c r="I147" s="33">
        <v>21942</v>
      </c>
      <c r="J147" s="5">
        <v>270.06</v>
      </c>
      <c r="K147" s="40">
        <v>384100</v>
      </c>
      <c r="L147" s="45">
        <v>179.1</v>
      </c>
      <c r="M147" s="41">
        <v>4</v>
      </c>
      <c r="N147" s="32">
        <f>Rådatakommune[[#This Row],[B15-O]]/Rådatakommune[[#This Row],[Totalareal2015-O]]</f>
        <v>163.73768792120271</v>
      </c>
      <c r="O147" s="34">
        <f>Rådatakommune[[#This Row],[B15-O]]/Rådatakommune[[#This Row],[B05-O]]-1</f>
        <v>0.11450247000705716</v>
      </c>
      <c r="P147" s="34">
        <f>Rådatakommune[[#This Row],[Kvinner20-39-O]]/Rådatakommune[[#This Row],[B15-O]]</f>
        <v>0.12135055066826478</v>
      </c>
      <c r="Q147" s="34">
        <f>Rådatakommune[[#This Row],[Eldre67+-O]]/Rådatakommune[[#This Row],[B15-O]]</f>
        <v>0.14473416404712905</v>
      </c>
      <c r="R147" s="34">
        <f>Rådatakommune[[#This Row],[S14-O]]/Rådatakommune[[#This Row],[S04-O]]-1</f>
        <v>0.14328887036265114</v>
      </c>
      <c r="S147" s="34">
        <f>Rådatakommune[[#This Row],[Y14-O]]/Rådatakommune[[#This Row],[Folk20-64-O]]</f>
        <v>0.81117481817831993</v>
      </c>
    </row>
    <row r="148" spans="1:19" x14ac:dyDescent="0.25">
      <c r="A148" s="2" t="s">
        <v>146</v>
      </c>
      <c r="B148" s="37">
        <v>2500</v>
      </c>
      <c r="C148" s="36">
        <v>2481</v>
      </c>
      <c r="D148" s="33">
        <v>1180</v>
      </c>
      <c r="E148" s="38">
        <v>410</v>
      </c>
      <c r="F148" s="39">
        <v>259</v>
      </c>
      <c r="G148">
        <v>1417</v>
      </c>
      <c r="H148" s="33">
        <v>918</v>
      </c>
      <c r="I148" s="33">
        <v>841</v>
      </c>
      <c r="J148" s="5">
        <v>322.14</v>
      </c>
      <c r="K148" s="40">
        <v>330000</v>
      </c>
      <c r="L148" s="45">
        <v>146.4</v>
      </c>
      <c r="M148" s="41">
        <v>5</v>
      </c>
      <c r="N148" s="32">
        <f>Rådatakommune[[#This Row],[B15-O]]/Rådatakommune[[#This Row],[Totalareal2015-O]]</f>
        <v>7.7016204134848207</v>
      </c>
      <c r="O148" s="34">
        <f>Rådatakommune[[#This Row],[B15-O]]/Rådatakommune[[#This Row],[B05-O]]-1</f>
        <v>-7.6000000000000512E-3</v>
      </c>
      <c r="P148" s="34">
        <f>Rådatakommune[[#This Row],[Kvinner20-39-O]]/Rådatakommune[[#This Row],[B15-O]]</f>
        <v>0.10439338976219266</v>
      </c>
      <c r="Q148" s="34">
        <f>Rådatakommune[[#This Row],[Eldre67+-O]]/Rådatakommune[[#This Row],[B15-O]]</f>
        <v>0.16525594518339379</v>
      </c>
      <c r="R148" s="34">
        <f>Rådatakommune[[#This Row],[S14-O]]/Rådatakommune[[#This Row],[S04-O]]-1</f>
        <v>-8.3877995642701486E-2</v>
      </c>
      <c r="S148" s="34">
        <f>Rådatakommune[[#This Row],[Y14-O]]/Rådatakommune[[#This Row],[Folk20-64-O]]</f>
        <v>0.83274523641496123</v>
      </c>
    </row>
    <row r="149" spans="1:19" x14ac:dyDescent="0.25">
      <c r="A149" s="2" t="s">
        <v>147</v>
      </c>
      <c r="B149" s="37">
        <v>1854</v>
      </c>
      <c r="C149" s="36">
        <v>2018</v>
      </c>
      <c r="D149" s="33">
        <v>944</v>
      </c>
      <c r="E149" s="38">
        <v>303</v>
      </c>
      <c r="F149" s="39">
        <v>230</v>
      </c>
      <c r="G149">
        <v>1118</v>
      </c>
      <c r="H149" s="33">
        <v>620</v>
      </c>
      <c r="I149" s="33">
        <v>551</v>
      </c>
      <c r="J149" s="5">
        <v>355.65</v>
      </c>
      <c r="K149" s="40">
        <v>345900</v>
      </c>
      <c r="L149" s="45">
        <v>154.383333333</v>
      </c>
      <c r="M149" s="41">
        <v>4</v>
      </c>
      <c r="N149" s="32">
        <f>Rådatakommune[[#This Row],[B15-O]]/Rådatakommune[[#This Row],[Totalareal2015-O]]</f>
        <v>5.6741178124560667</v>
      </c>
      <c r="O149" s="34">
        <f>Rådatakommune[[#This Row],[B15-O]]/Rådatakommune[[#This Row],[B05-O]]-1</f>
        <v>8.84573894282632E-2</v>
      </c>
      <c r="P149" s="34">
        <f>Rådatakommune[[#This Row],[Kvinner20-39-O]]/Rådatakommune[[#This Row],[B15-O]]</f>
        <v>0.11397423191278494</v>
      </c>
      <c r="Q149" s="34">
        <f>Rådatakommune[[#This Row],[Eldre67+-O]]/Rådatakommune[[#This Row],[B15-O]]</f>
        <v>0.15014866204162536</v>
      </c>
      <c r="R149" s="34">
        <f>Rådatakommune[[#This Row],[S14-O]]/Rådatakommune[[#This Row],[S04-O]]-1</f>
        <v>-0.1112903225806452</v>
      </c>
      <c r="S149" s="34">
        <f>Rådatakommune[[#This Row],[Y14-O]]/Rådatakommune[[#This Row],[Folk20-64-O]]</f>
        <v>0.84436493738819318</v>
      </c>
    </row>
    <row r="150" spans="1:19" x14ac:dyDescent="0.25">
      <c r="A150" s="2" t="s">
        <v>148</v>
      </c>
      <c r="B150" s="37">
        <v>5889</v>
      </c>
      <c r="C150" s="36">
        <v>6048</v>
      </c>
      <c r="D150" s="33">
        <v>2739</v>
      </c>
      <c r="E150" s="38">
        <v>1039</v>
      </c>
      <c r="F150" s="39">
        <v>711</v>
      </c>
      <c r="G150">
        <v>3435</v>
      </c>
      <c r="H150" s="33">
        <v>2184</v>
      </c>
      <c r="I150" s="33">
        <v>2345</v>
      </c>
      <c r="J150" s="5">
        <v>217.60999999999999</v>
      </c>
      <c r="K150" s="40">
        <v>357500</v>
      </c>
      <c r="L150" s="45">
        <v>160.98333333299999</v>
      </c>
      <c r="M150" s="41">
        <v>4</v>
      </c>
      <c r="N150" s="32">
        <f>Rådatakommune[[#This Row],[B15-O]]/Rådatakommune[[#This Row],[Totalareal2015-O]]</f>
        <v>27.792840402555033</v>
      </c>
      <c r="O150" s="34">
        <f>Rådatakommune[[#This Row],[B15-O]]/Rådatakommune[[#This Row],[B05-O]]-1</f>
        <v>2.6999490575649432E-2</v>
      </c>
      <c r="P150" s="34">
        <f>Rådatakommune[[#This Row],[Kvinner20-39-O]]/Rådatakommune[[#This Row],[B15-O]]</f>
        <v>0.11755952380952381</v>
      </c>
      <c r="Q150" s="34">
        <f>Rådatakommune[[#This Row],[Eldre67+-O]]/Rådatakommune[[#This Row],[B15-O]]</f>
        <v>0.17179232804232805</v>
      </c>
      <c r="R150" s="34">
        <f>Rådatakommune[[#This Row],[S14-O]]/Rådatakommune[[#This Row],[S04-O]]-1</f>
        <v>7.3717948717948678E-2</v>
      </c>
      <c r="S150" s="34">
        <f>Rådatakommune[[#This Row],[Y14-O]]/Rådatakommune[[#This Row],[Folk20-64-O]]</f>
        <v>0.79737991266375541</v>
      </c>
    </row>
    <row r="151" spans="1:19" x14ac:dyDescent="0.25">
      <c r="A151" s="2" t="s">
        <v>149</v>
      </c>
      <c r="B151" s="37">
        <v>4672</v>
      </c>
      <c r="C151" s="36">
        <v>5532</v>
      </c>
      <c r="D151" s="33">
        <v>2701</v>
      </c>
      <c r="E151" s="38">
        <v>666</v>
      </c>
      <c r="F151" s="39">
        <v>712</v>
      </c>
      <c r="G151">
        <v>3239</v>
      </c>
      <c r="H151" s="33">
        <v>1157</v>
      </c>
      <c r="I151" s="33">
        <v>1361</v>
      </c>
      <c r="J151" s="5">
        <v>644.54999999999995</v>
      </c>
      <c r="K151" s="40">
        <v>364000</v>
      </c>
      <c r="L151" s="45">
        <v>181.4</v>
      </c>
      <c r="M151" s="41">
        <v>4</v>
      </c>
      <c r="N151" s="32">
        <f>Rådatakommune[[#This Row],[B15-O]]/Rådatakommune[[#This Row],[Totalareal2015-O]]</f>
        <v>8.5827321387014202</v>
      </c>
      <c r="O151" s="34">
        <f>Rådatakommune[[#This Row],[B15-O]]/Rådatakommune[[#This Row],[B05-O]]-1</f>
        <v>0.18407534246575352</v>
      </c>
      <c r="P151" s="34">
        <f>Rådatakommune[[#This Row],[Kvinner20-39-O]]/Rådatakommune[[#This Row],[B15-O]]</f>
        <v>0.128705712219812</v>
      </c>
      <c r="Q151" s="34">
        <f>Rådatakommune[[#This Row],[Eldre67+-O]]/Rådatakommune[[#This Row],[B15-O]]</f>
        <v>0.12039045553145336</v>
      </c>
      <c r="R151" s="34">
        <f>Rådatakommune[[#This Row],[S14-O]]/Rådatakommune[[#This Row],[S04-O]]-1</f>
        <v>0.17631806395851335</v>
      </c>
      <c r="S151" s="34">
        <f>Rådatakommune[[#This Row],[Y14-O]]/Rådatakommune[[#This Row],[Folk20-64-O]]</f>
        <v>0.83389935165174434</v>
      </c>
    </row>
    <row r="152" spans="1:19" x14ac:dyDescent="0.25">
      <c r="A152" s="2" t="s">
        <v>150</v>
      </c>
      <c r="B152" s="37">
        <v>9043</v>
      </c>
      <c r="C152" s="36">
        <v>10340</v>
      </c>
      <c r="D152" s="33">
        <v>5151</v>
      </c>
      <c r="E152" s="38">
        <v>1497</v>
      </c>
      <c r="F152" s="39">
        <v>1221</v>
      </c>
      <c r="G152">
        <v>5879</v>
      </c>
      <c r="H152" s="33">
        <v>3132</v>
      </c>
      <c r="I152" s="33">
        <v>4424</v>
      </c>
      <c r="J152" s="5">
        <v>190.41</v>
      </c>
      <c r="K152" s="40">
        <v>405500</v>
      </c>
      <c r="L152" s="45">
        <v>166.78333333329999</v>
      </c>
      <c r="M152" s="41">
        <v>2</v>
      </c>
      <c r="N152" s="32">
        <f>Rådatakommune[[#This Row],[B15-O]]/Rådatakommune[[#This Row],[Totalareal2015-O]]</f>
        <v>54.303870595031775</v>
      </c>
      <c r="O152" s="34">
        <f>Rådatakommune[[#This Row],[B15-O]]/Rådatakommune[[#This Row],[B05-O]]-1</f>
        <v>0.14342585425190757</v>
      </c>
      <c r="P152" s="34">
        <f>Rådatakommune[[#This Row],[Kvinner20-39-O]]/Rådatakommune[[#This Row],[B15-O]]</f>
        <v>0.11808510638297873</v>
      </c>
      <c r="Q152" s="34">
        <f>Rådatakommune[[#This Row],[Eldre67+-O]]/Rådatakommune[[#This Row],[B15-O]]</f>
        <v>0.14477756286266924</v>
      </c>
      <c r="R152" s="34">
        <f>Rådatakommune[[#This Row],[S14-O]]/Rådatakommune[[#This Row],[S04-O]]-1</f>
        <v>0.41251596424010217</v>
      </c>
      <c r="S152" s="34">
        <f>Rådatakommune[[#This Row],[Y14-O]]/Rådatakommune[[#This Row],[Folk20-64-O]]</f>
        <v>0.8761694165674434</v>
      </c>
    </row>
    <row r="153" spans="1:19" x14ac:dyDescent="0.25">
      <c r="A153" s="2" t="s">
        <v>151</v>
      </c>
      <c r="B153" s="37">
        <v>4340</v>
      </c>
      <c r="C153" s="36">
        <v>5035</v>
      </c>
      <c r="D153" s="33">
        <v>2508</v>
      </c>
      <c r="E153" s="38">
        <v>665</v>
      </c>
      <c r="F153" s="39">
        <v>647</v>
      </c>
      <c r="G153">
        <v>2822</v>
      </c>
      <c r="H153" s="33">
        <v>1550</v>
      </c>
      <c r="I153" s="33">
        <v>1708</v>
      </c>
      <c r="J153" s="5">
        <v>674.20999999999992</v>
      </c>
      <c r="K153" s="40">
        <v>351300</v>
      </c>
      <c r="L153" s="45">
        <v>164.6</v>
      </c>
      <c r="M153" s="41">
        <v>2</v>
      </c>
      <c r="N153" s="32">
        <f>Rådatakommune[[#This Row],[B15-O]]/Rådatakommune[[#This Row],[Totalareal2015-O]]</f>
        <v>7.4679995846991298</v>
      </c>
      <c r="O153" s="34">
        <f>Rådatakommune[[#This Row],[B15-O]]/Rådatakommune[[#This Row],[B05-O]]-1</f>
        <v>0.16013824884792616</v>
      </c>
      <c r="P153" s="34">
        <f>Rådatakommune[[#This Row],[Kvinner20-39-O]]/Rådatakommune[[#This Row],[B15-O]]</f>
        <v>0.12850049652432968</v>
      </c>
      <c r="Q153" s="34">
        <f>Rådatakommune[[#This Row],[Eldre67+-O]]/Rådatakommune[[#This Row],[B15-O]]</f>
        <v>0.13207547169811321</v>
      </c>
      <c r="R153" s="34">
        <f>Rådatakommune[[#This Row],[S14-O]]/Rådatakommune[[#This Row],[S04-O]]-1</f>
        <v>0.10193548387096785</v>
      </c>
      <c r="S153" s="34">
        <f>Rådatakommune[[#This Row],[Y14-O]]/Rådatakommune[[#This Row],[Folk20-64-O]]</f>
        <v>0.88873139617292696</v>
      </c>
    </row>
    <row r="154" spans="1:19" x14ac:dyDescent="0.25">
      <c r="A154" s="2" t="s">
        <v>152</v>
      </c>
      <c r="B154" s="37">
        <v>1801</v>
      </c>
      <c r="C154" s="36">
        <v>1832</v>
      </c>
      <c r="D154" s="33">
        <v>839</v>
      </c>
      <c r="E154" s="38">
        <v>319</v>
      </c>
      <c r="F154" s="39">
        <v>181</v>
      </c>
      <c r="G154">
        <v>1018</v>
      </c>
      <c r="H154" s="33">
        <v>713</v>
      </c>
      <c r="I154" s="33">
        <v>711</v>
      </c>
      <c r="J154" s="5">
        <v>1130.6100000000001</v>
      </c>
      <c r="K154" s="40">
        <v>332700</v>
      </c>
      <c r="L154" s="45">
        <v>183.66666666699999</v>
      </c>
      <c r="M154" s="41">
        <v>4</v>
      </c>
      <c r="N154" s="32">
        <f>Rådatakommune[[#This Row],[B15-O]]/Rådatakommune[[#This Row],[Totalareal2015-O]]</f>
        <v>1.6203642281600197</v>
      </c>
      <c r="O154" s="34">
        <f>Rådatakommune[[#This Row],[B15-O]]/Rådatakommune[[#This Row],[B05-O]]-1</f>
        <v>1.7212659633536909E-2</v>
      </c>
      <c r="P154" s="34">
        <f>Rådatakommune[[#This Row],[Kvinner20-39-O]]/Rådatakommune[[#This Row],[B15-O]]</f>
        <v>9.879912663755458E-2</v>
      </c>
      <c r="Q154" s="34">
        <f>Rådatakommune[[#This Row],[Eldre67+-O]]/Rådatakommune[[#This Row],[B15-O]]</f>
        <v>0.17412663755458516</v>
      </c>
      <c r="R154" s="34">
        <f>Rådatakommune[[#This Row],[S14-O]]/Rådatakommune[[#This Row],[S04-O]]-1</f>
        <v>-2.8050490883591017E-3</v>
      </c>
      <c r="S154" s="34">
        <f>Rådatakommune[[#This Row],[Y14-O]]/Rådatakommune[[#This Row],[Folk20-64-O]]</f>
        <v>0.82416502946954817</v>
      </c>
    </row>
    <row r="155" spans="1:19" x14ac:dyDescent="0.25">
      <c r="A155" s="2" t="s">
        <v>153</v>
      </c>
      <c r="B155" s="37">
        <v>1154</v>
      </c>
      <c r="C155" s="36">
        <v>1315</v>
      </c>
      <c r="D155" s="33">
        <v>667</v>
      </c>
      <c r="E155" s="38">
        <v>162</v>
      </c>
      <c r="F155" s="39">
        <v>173</v>
      </c>
      <c r="G155">
        <v>780</v>
      </c>
      <c r="H155" s="33">
        <v>307</v>
      </c>
      <c r="I155" s="33">
        <v>446</v>
      </c>
      <c r="J155" s="5">
        <v>261.63</v>
      </c>
      <c r="K155" s="40">
        <v>342600</v>
      </c>
      <c r="L155" s="45">
        <v>180.55</v>
      </c>
      <c r="M155" s="41">
        <v>2</v>
      </c>
      <c r="N155" s="32">
        <f>Rådatakommune[[#This Row],[B15-O]]/Rådatakommune[[#This Row],[Totalareal2015-O]]</f>
        <v>5.0261820127661201</v>
      </c>
      <c r="O155" s="34">
        <f>Rådatakommune[[#This Row],[B15-O]]/Rådatakommune[[#This Row],[B05-O]]-1</f>
        <v>0.13951473136915071</v>
      </c>
      <c r="P155" s="34">
        <f>Rådatakommune[[#This Row],[Kvinner20-39-O]]/Rådatakommune[[#This Row],[B15-O]]</f>
        <v>0.13155893536121674</v>
      </c>
      <c r="Q155" s="34">
        <f>Rådatakommune[[#This Row],[Eldre67+-O]]/Rådatakommune[[#This Row],[B15-O]]</f>
        <v>0.12319391634980989</v>
      </c>
      <c r="R155" s="34">
        <f>Rådatakommune[[#This Row],[S14-O]]/Rådatakommune[[#This Row],[S04-O]]-1</f>
        <v>0.45276872964169379</v>
      </c>
      <c r="S155" s="34">
        <f>Rådatakommune[[#This Row],[Y14-O]]/Rådatakommune[[#This Row],[Folk20-64-O]]</f>
        <v>0.85512820512820509</v>
      </c>
    </row>
    <row r="156" spans="1:19" x14ac:dyDescent="0.25">
      <c r="A156" s="2" t="s">
        <v>154</v>
      </c>
      <c r="B156" s="37">
        <v>3305</v>
      </c>
      <c r="C156" s="36">
        <v>3567</v>
      </c>
      <c r="D156" s="33">
        <v>1727</v>
      </c>
      <c r="E156" s="38">
        <v>567</v>
      </c>
      <c r="F156" s="39">
        <v>421</v>
      </c>
      <c r="G156">
        <v>1967</v>
      </c>
      <c r="H156" s="33">
        <v>1386</v>
      </c>
      <c r="I156" s="33">
        <v>1649</v>
      </c>
      <c r="J156" s="5">
        <v>550.23</v>
      </c>
      <c r="K156" s="40">
        <v>355700</v>
      </c>
      <c r="L156" s="45">
        <v>198.0666666667</v>
      </c>
      <c r="M156" s="41">
        <v>5</v>
      </c>
      <c r="N156" s="32">
        <f>Rådatakommune[[#This Row],[B15-O]]/Rådatakommune[[#This Row],[Totalareal2015-O]]</f>
        <v>6.4827435799574724</v>
      </c>
      <c r="O156" s="34">
        <f>Rådatakommune[[#This Row],[B15-O]]/Rådatakommune[[#This Row],[B05-O]]-1</f>
        <v>7.9273827534039443E-2</v>
      </c>
      <c r="P156" s="34">
        <f>Rådatakommune[[#This Row],[Kvinner20-39-O]]/Rådatakommune[[#This Row],[B15-O]]</f>
        <v>0.11802635267731988</v>
      </c>
      <c r="Q156" s="34">
        <f>Rådatakommune[[#This Row],[Eldre67+-O]]/Rådatakommune[[#This Row],[B15-O]]</f>
        <v>0.15895710681244743</v>
      </c>
      <c r="R156" s="34">
        <f>Rådatakommune[[#This Row],[S14-O]]/Rådatakommune[[#This Row],[S04-O]]-1</f>
        <v>0.18975468975468979</v>
      </c>
      <c r="S156" s="34">
        <f>Rådatakommune[[#This Row],[Y14-O]]/Rådatakommune[[#This Row],[Folk20-64-O]]</f>
        <v>0.87798678190137269</v>
      </c>
    </row>
    <row r="157" spans="1:19" x14ac:dyDescent="0.25">
      <c r="A157" s="2" t="s">
        <v>155</v>
      </c>
      <c r="B157" s="37">
        <v>1327</v>
      </c>
      <c r="C157" s="36">
        <v>1189</v>
      </c>
      <c r="D157" s="33">
        <v>573</v>
      </c>
      <c r="E157" s="38">
        <v>218</v>
      </c>
      <c r="F157" s="39">
        <v>112</v>
      </c>
      <c r="G157">
        <v>673</v>
      </c>
      <c r="H157" s="33">
        <v>644</v>
      </c>
      <c r="I157" s="33">
        <v>506</v>
      </c>
      <c r="J157" s="5">
        <v>1311.66</v>
      </c>
      <c r="K157" s="40">
        <v>357300</v>
      </c>
      <c r="L157" s="45">
        <v>223.9166666667</v>
      </c>
      <c r="M157" s="41">
        <v>5</v>
      </c>
      <c r="N157" s="32">
        <f>Rådatakommune[[#This Row],[B15-O]]/Rådatakommune[[#This Row],[Totalareal2015-O]]</f>
        <v>0.90648491224860095</v>
      </c>
      <c r="O157" s="34">
        <f>Rådatakommune[[#This Row],[B15-O]]/Rådatakommune[[#This Row],[B05-O]]-1</f>
        <v>-0.10399397136397892</v>
      </c>
      <c r="P157" s="34">
        <f>Rådatakommune[[#This Row],[Kvinner20-39-O]]/Rådatakommune[[#This Row],[B15-O]]</f>
        <v>9.4196804037005893E-2</v>
      </c>
      <c r="Q157" s="34">
        <f>Rådatakommune[[#This Row],[Eldre67+-O]]/Rådatakommune[[#This Row],[B15-O]]</f>
        <v>0.18334735071488645</v>
      </c>
      <c r="R157" s="34">
        <f>Rådatakommune[[#This Row],[S14-O]]/Rådatakommune[[#This Row],[S04-O]]-1</f>
        <v>-0.2142857142857143</v>
      </c>
      <c r="S157" s="34">
        <f>Rådatakommune[[#This Row],[Y14-O]]/Rådatakommune[[#This Row],[Folk20-64-O]]</f>
        <v>0.85141158989598809</v>
      </c>
    </row>
    <row r="158" spans="1:19" x14ac:dyDescent="0.25">
      <c r="A158" s="2" t="s">
        <v>156</v>
      </c>
      <c r="B158" s="37">
        <v>1384</v>
      </c>
      <c r="C158" s="36">
        <v>1251</v>
      </c>
      <c r="D158" s="33">
        <v>684</v>
      </c>
      <c r="E158" s="38">
        <v>208</v>
      </c>
      <c r="F158" s="39">
        <v>122</v>
      </c>
      <c r="G158">
        <v>731</v>
      </c>
      <c r="H158" s="33">
        <v>603</v>
      </c>
      <c r="I158" s="33">
        <v>622</v>
      </c>
      <c r="J158" s="5">
        <v>1265.31</v>
      </c>
      <c r="K158" s="40">
        <v>379400</v>
      </c>
      <c r="L158" s="45">
        <v>222.08333333300001</v>
      </c>
      <c r="M158" s="41">
        <v>11</v>
      </c>
      <c r="N158" s="32">
        <f>Rådatakommune[[#This Row],[B15-O]]/Rådatakommune[[#This Row],[Totalareal2015-O]]</f>
        <v>0.98869051852905621</v>
      </c>
      <c r="O158" s="34">
        <f>Rådatakommune[[#This Row],[B15-O]]/Rådatakommune[[#This Row],[B05-O]]-1</f>
        <v>-9.6098265895953716E-2</v>
      </c>
      <c r="P158" s="34">
        <f>Rådatakommune[[#This Row],[Kvinner20-39-O]]/Rådatakommune[[#This Row],[B15-O]]</f>
        <v>9.7521982414068745E-2</v>
      </c>
      <c r="Q158" s="34">
        <f>Rådatakommune[[#This Row],[Eldre67+-O]]/Rådatakommune[[#This Row],[B15-O]]</f>
        <v>0.16626698641087131</v>
      </c>
      <c r="R158" s="34">
        <f>Rådatakommune[[#This Row],[S14-O]]/Rådatakommune[[#This Row],[S04-O]]-1</f>
        <v>3.1509121061359835E-2</v>
      </c>
      <c r="S158" s="34">
        <f>Rådatakommune[[#This Row],[Y14-O]]/Rådatakommune[[#This Row],[Folk20-64-O]]</f>
        <v>0.93570451436388513</v>
      </c>
    </row>
    <row r="159" spans="1:19" x14ac:dyDescent="0.25">
      <c r="A159" s="2" t="s">
        <v>157</v>
      </c>
      <c r="B159" s="37">
        <v>857</v>
      </c>
      <c r="C159" s="36">
        <v>933</v>
      </c>
      <c r="D159" s="33">
        <v>551</v>
      </c>
      <c r="E159" s="38">
        <v>95</v>
      </c>
      <c r="F159" s="39">
        <v>123</v>
      </c>
      <c r="G159">
        <v>585</v>
      </c>
      <c r="H159" s="33">
        <v>480</v>
      </c>
      <c r="I159" s="33">
        <v>584</v>
      </c>
      <c r="J159" s="5">
        <v>1467.13</v>
      </c>
      <c r="K159" s="40">
        <v>446100</v>
      </c>
      <c r="L159" s="45">
        <v>215.25</v>
      </c>
      <c r="M159" s="41">
        <v>11</v>
      </c>
      <c r="N159" s="32">
        <f>Rådatakommune[[#This Row],[B15-O]]/Rådatakommune[[#This Row],[Totalareal2015-O]]</f>
        <v>0.63593546584147276</v>
      </c>
      <c r="O159" s="34">
        <f>Rådatakommune[[#This Row],[B15-O]]/Rådatakommune[[#This Row],[B05-O]]-1</f>
        <v>8.8681446907817874E-2</v>
      </c>
      <c r="P159" s="34">
        <f>Rådatakommune[[#This Row],[Kvinner20-39-O]]/Rådatakommune[[#This Row],[B15-O]]</f>
        <v>0.13183279742765272</v>
      </c>
      <c r="Q159" s="34">
        <f>Rådatakommune[[#This Row],[Eldre67+-O]]/Rådatakommune[[#This Row],[B15-O]]</f>
        <v>0.10182207931404073</v>
      </c>
      <c r="R159" s="34">
        <f>Rådatakommune[[#This Row],[S14-O]]/Rådatakommune[[#This Row],[S04-O]]-1</f>
        <v>0.21666666666666656</v>
      </c>
      <c r="S159" s="34">
        <f>Rådatakommune[[#This Row],[Y14-O]]/Rådatakommune[[#This Row],[Folk20-64-O]]</f>
        <v>0.94188034188034186</v>
      </c>
    </row>
    <row r="160" spans="1:19" x14ac:dyDescent="0.25">
      <c r="A160" s="2" t="s">
        <v>158</v>
      </c>
      <c r="B160" s="37">
        <v>76066</v>
      </c>
      <c r="C160" s="36">
        <v>87446</v>
      </c>
      <c r="D160" s="33">
        <v>43789</v>
      </c>
      <c r="E160" s="38">
        <v>11145</v>
      </c>
      <c r="F160" s="39">
        <v>12117</v>
      </c>
      <c r="G160">
        <v>52420</v>
      </c>
      <c r="H160" s="33">
        <v>42611</v>
      </c>
      <c r="I160" s="33">
        <v>52069</v>
      </c>
      <c r="J160" s="5">
        <v>276.51</v>
      </c>
      <c r="K160" s="40">
        <v>395800</v>
      </c>
      <c r="L160" s="45">
        <v>158.8166666667</v>
      </c>
      <c r="M160" s="41">
        <v>2</v>
      </c>
      <c r="N160" s="32">
        <f>Rådatakommune[[#This Row],[B15-O]]/Rådatakommune[[#This Row],[Totalareal2015-O]]</f>
        <v>316.24896025460203</v>
      </c>
      <c r="O160" s="34">
        <f>Rådatakommune[[#This Row],[B15-O]]/Rådatakommune[[#This Row],[B05-O]]-1</f>
        <v>0.14960692030604994</v>
      </c>
      <c r="P160" s="34">
        <f>Rådatakommune[[#This Row],[Kvinner20-39-O]]/Rådatakommune[[#This Row],[B15-O]]</f>
        <v>0.13856551471765433</v>
      </c>
      <c r="Q160" s="34">
        <f>Rådatakommune[[#This Row],[Eldre67+-O]]/Rådatakommune[[#This Row],[B15-O]]</f>
        <v>0.12745008348009057</v>
      </c>
      <c r="R160" s="34">
        <f>Rådatakommune[[#This Row],[S14-O]]/Rådatakommune[[#This Row],[S04-O]]-1</f>
        <v>0.22196146534932293</v>
      </c>
      <c r="S160" s="34">
        <f>Rådatakommune[[#This Row],[Y14-O]]/Rådatakommune[[#This Row],[Folk20-64-O]]</f>
        <v>0.83534910339565049</v>
      </c>
    </row>
    <row r="161" spans="1:19" x14ac:dyDescent="0.25">
      <c r="A161" s="2" t="s">
        <v>159</v>
      </c>
      <c r="B161" s="37">
        <v>14010</v>
      </c>
      <c r="C161" s="36">
        <v>15437</v>
      </c>
      <c r="D161" s="33">
        <v>7387</v>
      </c>
      <c r="E161" s="38">
        <v>2247</v>
      </c>
      <c r="F161" s="39">
        <v>1876</v>
      </c>
      <c r="G161">
        <v>8807</v>
      </c>
      <c r="H161" s="33">
        <v>5692</v>
      </c>
      <c r="I161" s="33">
        <v>6305</v>
      </c>
      <c r="J161" s="5">
        <v>222.56</v>
      </c>
      <c r="K161" s="40">
        <v>376300</v>
      </c>
      <c r="L161" s="45">
        <v>194.4</v>
      </c>
      <c r="M161" s="41">
        <v>5</v>
      </c>
      <c r="N161" s="32">
        <f>Rådatakommune[[#This Row],[B15-O]]/Rådatakommune[[#This Row],[Totalareal2015-O]]</f>
        <v>69.361071171818836</v>
      </c>
      <c r="O161" s="34">
        <f>Rådatakommune[[#This Row],[B15-O]]/Rådatakommune[[#This Row],[B05-O]]-1</f>
        <v>0.10185581727337611</v>
      </c>
      <c r="P161" s="34">
        <f>Rådatakommune[[#This Row],[Kvinner20-39-O]]/Rådatakommune[[#This Row],[B15-O]]</f>
        <v>0.12152620327783896</v>
      </c>
      <c r="Q161" s="34">
        <f>Rådatakommune[[#This Row],[Eldre67+-O]]/Rådatakommune[[#This Row],[B15-O]]</f>
        <v>0.14555937034397876</v>
      </c>
      <c r="R161" s="34">
        <f>Rådatakommune[[#This Row],[S14-O]]/Rådatakommune[[#This Row],[S04-O]]-1</f>
        <v>0.1076950105411103</v>
      </c>
      <c r="S161" s="34">
        <f>Rådatakommune[[#This Row],[Y14-O]]/Rådatakommune[[#This Row],[Folk20-64-O]]</f>
        <v>0.83876461905302602</v>
      </c>
    </row>
    <row r="162" spans="1:19" x14ac:dyDescent="0.25">
      <c r="A162" s="2" t="s">
        <v>160</v>
      </c>
      <c r="B162" s="37">
        <v>9479</v>
      </c>
      <c r="C162" s="36">
        <v>9596</v>
      </c>
      <c r="D162" s="33">
        <v>4812</v>
      </c>
      <c r="E162" s="38">
        <v>1608</v>
      </c>
      <c r="F162" s="39">
        <v>1031</v>
      </c>
      <c r="G162">
        <v>5256</v>
      </c>
      <c r="H162" s="33">
        <v>4038</v>
      </c>
      <c r="I162" s="33">
        <v>4117</v>
      </c>
      <c r="J162" s="5">
        <v>262.54000000000002</v>
      </c>
      <c r="K162" s="40">
        <v>387300</v>
      </c>
      <c r="L162" s="45">
        <v>231.8166666667</v>
      </c>
      <c r="M162" s="41">
        <v>6</v>
      </c>
      <c r="N162" s="32">
        <f>Rådatakommune[[#This Row],[B15-O]]/Rådatakommune[[#This Row],[Totalareal2015-O]]</f>
        <v>36.550620857774049</v>
      </c>
      <c r="O162" s="34">
        <f>Rådatakommune[[#This Row],[B15-O]]/Rådatakommune[[#This Row],[B05-O]]-1</f>
        <v>1.2343074163941425E-2</v>
      </c>
      <c r="P162" s="34">
        <f>Rådatakommune[[#This Row],[Kvinner20-39-O]]/Rådatakommune[[#This Row],[B15-O]]</f>
        <v>0.10744060025010421</v>
      </c>
      <c r="Q162" s="34">
        <f>Rådatakommune[[#This Row],[Eldre67+-O]]/Rådatakommune[[#This Row],[B15-O]]</f>
        <v>0.16756982075864943</v>
      </c>
      <c r="R162" s="34">
        <f>Rådatakommune[[#This Row],[S14-O]]/Rådatakommune[[#This Row],[S04-O]]-1</f>
        <v>1.9564140663694829E-2</v>
      </c>
      <c r="S162" s="34">
        <f>Rådatakommune[[#This Row],[Y14-O]]/Rådatakommune[[#This Row],[Folk20-64-O]]</f>
        <v>0.91552511415525117</v>
      </c>
    </row>
    <row r="163" spans="1:19" x14ac:dyDescent="0.25">
      <c r="A163" s="2" t="s">
        <v>161</v>
      </c>
      <c r="B163" s="37">
        <v>8878</v>
      </c>
      <c r="C163" s="36">
        <v>9069</v>
      </c>
      <c r="D163" s="33">
        <v>4521</v>
      </c>
      <c r="E163" s="38">
        <v>1553</v>
      </c>
      <c r="F163" s="39">
        <v>951</v>
      </c>
      <c r="G163">
        <v>5039</v>
      </c>
      <c r="H163" s="33">
        <v>3860</v>
      </c>
      <c r="I163" s="33">
        <v>4227</v>
      </c>
      <c r="J163" s="5">
        <v>543.53</v>
      </c>
      <c r="K163" s="40">
        <v>389300</v>
      </c>
      <c r="L163" s="45">
        <v>244.0833333333</v>
      </c>
      <c r="M163" s="41">
        <v>6</v>
      </c>
      <c r="N163" s="32">
        <f>Rådatakommune[[#This Row],[B15-O]]/Rådatakommune[[#This Row],[Totalareal2015-O]]</f>
        <v>16.68537155262819</v>
      </c>
      <c r="O163" s="34">
        <f>Rådatakommune[[#This Row],[B15-O]]/Rådatakommune[[#This Row],[B05-O]]-1</f>
        <v>2.1513854471727933E-2</v>
      </c>
      <c r="P163" s="34">
        <f>Rådatakommune[[#This Row],[Kvinner20-39-O]]/Rådatakommune[[#This Row],[B15-O]]</f>
        <v>0.10486271915315912</v>
      </c>
      <c r="Q163" s="34">
        <f>Rådatakommune[[#This Row],[Eldre67+-O]]/Rådatakommune[[#This Row],[B15-O]]</f>
        <v>0.17124269489469621</v>
      </c>
      <c r="R163" s="34">
        <f>Rådatakommune[[#This Row],[S14-O]]/Rådatakommune[[#This Row],[S04-O]]-1</f>
        <v>9.5077720207253913E-2</v>
      </c>
      <c r="S163" s="34">
        <f>Rådatakommune[[#This Row],[Y14-O]]/Rådatakommune[[#This Row],[Folk20-64-O]]</f>
        <v>0.89720182575907914</v>
      </c>
    </row>
    <row r="164" spans="1:19" x14ac:dyDescent="0.25">
      <c r="A164" s="2" t="s">
        <v>162</v>
      </c>
      <c r="B164" s="37">
        <v>12427</v>
      </c>
      <c r="C164" s="36">
        <v>14095</v>
      </c>
      <c r="D164" s="33">
        <v>6911</v>
      </c>
      <c r="E164" s="38">
        <v>1755</v>
      </c>
      <c r="F164" s="39">
        <v>1880</v>
      </c>
      <c r="G164">
        <v>8223</v>
      </c>
      <c r="H164" s="33">
        <v>3885</v>
      </c>
      <c r="I164" s="33">
        <v>4292</v>
      </c>
      <c r="J164" s="5">
        <v>384.47</v>
      </c>
      <c r="K164" s="40">
        <v>358600</v>
      </c>
      <c r="L164" s="45">
        <v>158.61666666669998</v>
      </c>
      <c r="M164" s="41">
        <v>2</v>
      </c>
      <c r="N164" s="32">
        <f>Rådatakommune[[#This Row],[B15-O]]/Rådatakommune[[#This Row],[Totalareal2015-O]]</f>
        <v>36.660857804250007</v>
      </c>
      <c r="O164" s="34">
        <f>Rådatakommune[[#This Row],[B15-O]]/Rådatakommune[[#This Row],[B05-O]]-1</f>
        <v>0.1342238673855316</v>
      </c>
      <c r="P164" s="34">
        <f>Rådatakommune[[#This Row],[Kvinner20-39-O]]/Rådatakommune[[#This Row],[B15-O]]</f>
        <v>0.13338063142958495</v>
      </c>
      <c r="Q164" s="34">
        <f>Rådatakommune[[#This Row],[Eldre67+-O]]/Rådatakommune[[#This Row],[B15-O]]</f>
        <v>0.1245122383824051</v>
      </c>
      <c r="R164" s="34">
        <f>Rådatakommune[[#This Row],[S14-O]]/Rådatakommune[[#This Row],[S04-O]]-1</f>
        <v>0.10476190476190483</v>
      </c>
      <c r="S164" s="34">
        <f>Rådatakommune[[#This Row],[Y14-O]]/Rådatakommune[[#This Row],[Folk20-64-O]]</f>
        <v>0.84044752523409949</v>
      </c>
    </row>
    <row r="165" spans="1:19" x14ac:dyDescent="0.25">
      <c r="A165" s="2" t="s">
        <v>163</v>
      </c>
      <c r="B165" s="37">
        <v>5556</v>
      </c>
      <c r="C165" s="36">
        <v>6354</v>
      </c>
      <c r="D165" s="33">
        <v>3086</v>
      </c>
      <c r="E165" s="38">
        <v>763</v>
      </c>
      <c r="F165" s="39">
        <v>847</v>
      </c>
      <c r="G165">
        <v>3695</v>
      </c>
      <c r="H165" s="33">
        <v>1849</v>
      </c>
      <c r="I165" s="33">
        <v>2846</v>
      </c>
      <c r="J165" s="5">
        <v>215.95000000000002</v>
      </c>
      <c r="K165" s="40">
        <v>355000</v>
      </c>
      <c r="L165" s="45">
        <v>169.05</v>
      </c>
      <c r="M165" s="41">
        <v>2</v>
      </c>
      <c r="N165" s="32">
        <f>Rådatakommune[[#This Row],[B15-O]]/Rådatakommune[[#This Row],[Totalareal2015-O]]</f>
        <v>29.423477656865014</v>
      </c>
      <c r="O165" s="34">
        <f>Rådatakommune[[#This Row],[B15-O]]/Rådatakommune[[#This Row],[B05-O]]-1</f>
        <v>0.14362850971922247</v>
      </c>
      <c r="P165" s="34">
        <f>Rådatakommune[[#This Row],[Kvinner20-39-O]]/Rådatakommune[[#This Row],[B15-O]]</f>
        <v>0.13330185709789108</v>
      </c>
      <c r="Q165" s="34">
        <f>Rådatakommune[[#This Row],[Eldre67+-O]]/Rådatakommune[[#This Row],[B15-O]]</f>
        <v>0.12008183821214982</v>
      </c>
      <c r="R165" s="34">
        <f>Rådatakommune[[#This Row],[S14-O]]/Rådatakommune[[#This Row],[S04-O]]-1</f>
        <v>0.53921038399134669</v>
      </c>
      <c r="S165" s="34">
        <f>Rådatakommune[[#This Row],[Y14-O]]/Rådatakommune[[#This Row],[Folk20-64-O]]</f>
        <v>0.83518267929634638</v>
      </c>
    </row>
    <row r="166" spans="1:19" x14ac:dyDescent="0.25">
      <c r="A166" s="2" t="s">
        <v>164</v>
      </c>
      <c r="B166" s="37">
        <v>9547</v>
      </c>
      <c r="C166" s="36">
        <v>11217</v>
      </c>
      <c r="D166" s="33">
        <v>5558</v>
      </c>
      <c r="E166" s="38">
        <v>1405</v>
      </c>
      <c r="F166" s="39">
        <v>1362</v>
      </c>
      <c r="G166">
        <v>6450</v>
      </c>
      <c r="H166" s="33">
        <v>2905</v>
      </c>
      <c r="I166" s="33">
        <v>3650</v>
      </c>
      <c r="J166" s="5">
        <v>151.26</v>
      </c>
      <c r="K166" s="40">
        <v>395600</v>
      </c>
      <c r="L166" s="45">
        <v>171.1</v>
      </c>
      <c r="M166" s="41">
        <v>2</v>
      </c>
      <c r="N166" s="32">
        <f>Rådatakommune[[#This Row],[B15-O]]/Rådatakommune[[#This Row],[Totalareal2015-O]]</f>
        <v>74.157080523601749</v>
      </c>
      <c r="O166" s="34">
        <f>Rådatakommune[[#This Row],[B15-O]]/Rådatakommune[[#This Row],[B05-O]]-1</f>
        <v>0.17492405991410909</v>
      </c>
      <c r="P166" s="34">
        <f>Rådatakommune[[#This Row],[Kvinner20-39-O]]/Rådatakommune[[#This Row],[B15-O]]</f>
        <v>0.12142284033163947</v>
      </c>
      <c r="Q166" s="34">
        <f>Rådatakommune[[#This Row],[Eldre67+-O]]/Rådatakommune[[#This Row],[B15-O]]</f>
        <v>0.12525630739056789</v>
      </c>
      <c r="R166" s="34">
        <f>Rådatakommune[[#This Row],[S14-O]]/Rådatakommune[[#This Row],[S04-O]]-1</f>
        <v>0.25645438898450945</v>
      </c>
      <c r="S166" s="34">
        <f>Rådatakommune[[#This Row],[Y14-O]]/Rådatakommune[[#This Row],[Folk20-64-O]]</f>
        <v>0.8617054263565892</v>
      </c>
    </row>
    <row r="167" spans="1:19" x14ac:dyDescent="0.25">
      <c r="A167" s="2" t="s">
        <v>165</v>
      </c>
      <c r="B167" s="37">
        <v>2167</v>
      </c>
      <c r="C167" s="36">
        <v>2294</v>
      </c>
      <c r="D167" s="33">
        <v>1147</v>
      </c>
      <c r="E167" s="38">
        <v>300</v>
      </c>
      <c r="F167" s="39">
        <v>268</v>
      </c>
      <c r="G167">
        <v>1315</v>
      </c>
      <c r="H167" s="33">
        <v>721</v>
      </c>
      <c r="I167" s="33">
        <v>711</v>
      </c>
      <c r="J167" s="5">
        <v>395.02</v>
      </c>
      <c r="K167" s="40">
        <v>353500</v>
      </c>
      <c r="L167" s="45">
        <v>191.9333333333</v>
      </c>
      <c r="M167" s="41">
        <v>5</v>
      </c>
      <c r="N167" s="32">
        <f>Rådatakommune[[#This Row],[B15-O]]/Rådatakommune[[#This Row],[Totalareal2015-O]]</f>
        <v>5.8073008961571571</v>
      </c>
      <c r="O167" s="34">
        <f>Rådatakommune[[#This Row],[B15-O]]/Rådatakommune[[#This Row],[B05-O]]-1</f>
        <v>5.8606368251038266E-2</v>
      </c>
      <c r="P167" s="34">
        <f>Rådatakommune[[#This Row],[Kvinner20-39-O]]/Rådatakommune[[#This Row],[B15-O]]</f>
        <v>0.11682650392327812</v>
      </c>
      <c r="Q167" s="34">
        <f>Rådatakommune[[#This Row],[Eldre67+-O]]/Rådatakommune[[#This Row],[B15-O]]</f>
        <v>0.13077593722755013</v>
      </c>
      <c r="R167" s="34">
        <f>Rådatakommune[[#This Row],[S14-O]]/Rådatakommune[[#This Row],[S04-O]]-1</f>
        <v>-1.3869625520110951E-2</v>
      </c>
      <c r="S167" s="34">
        <f>Rådatakommune[[#This Row],[Y14-O]]/Rådatakommune[[#This Row],[Folk20-64-O]]</f>
        <v>0.87224334600760456</v>
      </c>
    </row>
    <row r="168" spans="1:19" x14ac:dyDescent="0.25">
      <c r="A168" s="2" t="s">
        <v>166</v>
      </c>
      <c r="B168" s="37">
        <v>907</v>
      </c>
      <c r="C168" s="36">
        <v>925</v>
      </c>
      <c r="D168" s="33">
        <v>464</v>
      </c>
      <c r="E168" s="38">
        <v>132</v>
      </c>
      <c r="F168" s="39">
        <v>92</v>
      </c>
      <c r="G168">
        <v>515</v>
      </c>
      <c r="H168" s="33">
        <v>451</v>
      </c>
      <c r="I168" s="33">
        <v>603</v>
      </c>
      <c r="J168" s="5">
        <v>887.52</v>
      </c>
      <c r="K168" s="40">
        <v>368200</v>
      </c>
      <c r="L168" s="45">
        <v>217.26666666670002</v>
      </c>
      <c r="M168" s="41">
        <v>5</v>
      </c>
      <c r="N168" s="32">
        <f>Rådatakommune[[#This Row],[B15-O]]/Rådatakommune[[#This Row],[Totalareal2015-O]]</f>
        <v>1.0422300342527493</v>
      </c>
      <c r="O168" s="34">
        <f>Rådatakommune[[#This Row],[B15-O]]/Rådatakommune[[#This Row],[B05-O]]-1</f>
        <v>1.9845644983461863E-2</v>
      </c>
      <c r="P168" s="34">
        <f>Rådatakommune[[#This Row],[Kvinner20-39-O]]/Rådatakommune[[#This Row],[B15-O]]</f>
        <v>9.9459459459459457E-2</v>
      </c>
      <c r="Q168" s="34">
        <f>Rådatakommune[[#This Row],[Eldre67+-O]]/Rådatakommune[[#This Row],[B15-O]]</f>
        <v>0.14270270270270272</v>
      </c>
      <c r="R168" s="34">
        <f>Rådatakommune[[#This Row],[S14-O]]/Rådatakommune[[#This Row],[S04-O]]-1</f>
        <v>0.33702882483370278</v>
      </c>
      <c r="S168" s="34">
        <f>Rådatakommune[[#This Row],[Y14-O]]/Rådatakommune[[#This Row],[Folk20-64-O]]</f>
        <v>0.90097087378640772</v>
      </c>
    </row>
    <row r="169" spans="1:19" x14ac:dyDescent="0.25">
      <c r="A169" s="2" t="s">
        <v>167</v>
      </c>
      <c r="B169" s="37">
        <v>1575</v>
      </c>
      <c r="C169" s="36">
        <v>1750</v>
      </c>
      <c r="D169" s="33">
        <v>901</v>
      </c>
      <c r="E169" s="38">
        <v>256</v>
      </c>
      <c r="F169" s="39">
        <v>192</v>
      </c>
      <c r="G169">
        <v>950</v>
      </c>
      <c r="H169" s="33">
        <v>629</v>
      </c>
      <c r="I169" s="33">
        <v>684</v>
      </c>
      <c r="J169" s="5">
        <v>251.45000000000002</v>
      </c>
      <c r="K169" s="40">
        <v>372600</v>
      </c>
      <c r="L169" s="45">
        <v>200.55</v>
      </c>
      <c r="M169" s="41">
        <v>5</v>
      </c>
      <c r="N169" s="32">
        <f>Rådatakommune[[#This Row],[B15-O]]/Rådatakommune[[#This Row],[Totalareal2015-O]]</f>
        <v>6.9596341220918667</v>
      </c>
      <c r="O169" s="34">
        <f>Rådatakommune[[#This Row],[B15-O]]/Rådatakommune[[#This Row],[B05-O]]-1</f>
        <v>0.11111111111111116</v>
      </c>
      <c r="P169" s="34">
        <f>Rådatakommune[[#This Row],[Kvinner20-39-O]]/Rådatakommune[[#This Row],[B15-O]]</f>
        <v>0.10971428571428571</v>
      </c>
      <c r="Q169" s="34">
        <f>Rådatakommune[[#This Row],[Eldre67+-O]]/Rådatakommune[[#This Row],[B15-O]]</f>
        <v>0.1462857142857143</v>
      </c>
      <c r="R169" s="34">
        <f>Rådatakommune[[#This Row],[S14-O]]/Rådatakommune[[#This Row],[S04-O]]-1</f>
        <v>8.744038155802869E-2</v>
      </c>
      <c r="S169" s="34">
        <f>Rådatakommune[[#This Row],[Y14-O]]/Rådatakommune[[#This Row],[Folk20-64-O]]</f>
        <v>0.94842105263157894</v>
      </c>
    </row>
    <row r="170" spans="1:19" x14ac:dyDescent="0.25">
      <c r="A170" s="2" t="s">
        <v>168</v>
      </c>
      <c r="B170" s="37">
        <v>4484</v>
      </c>
      <c r="C170" s="36">
        <v>4880</v>
      </c>
      <c r="D170" s="33">
        <v>2369</v>
      </c>
      <c r="E170" s="38">
        <v>774</v>
      </c>
      <c r="F170" s="39">
        <v>561</v>
      </c>
      <c r="G170">
        <v>2694</v>
      </c>
      <c r="H170" s="33">
        <v>1767</v>
      </c>
      <c r="I170" s="33">
        <v>1899</v>
      </c>
      <c r="J170" s="5">
        <v>316.02</v>
      </c>
      <c r="K170" s="40">
        <v>354000</v>
      </c>
      <c r="L170" s="45">
        <v>200.8166666667</v>
      </c>
      <c r="M170" s="41">
        <v>5</v>
      </c>
      <c r="N170" s="32">
        <f>Rådatakommune[[#This Row],[B15-O]]/Rådatakommune[[#This Row],[Totalareal2015-O]]</f>
        <v>15.44206062907411</v>
      </c>
      <c r="O170" s="34">
        <f>Rådatakommune[[#This Row],[B15-O]]/Rådatakommune[[#This Row],[B05-O]]-1</f>
        <v>8.8314005352363889E-2</v>
      </c>
      <c r="P170" s="34">
        <f>Rådatakommune[[#This Row],[Kvinner20-39-O]]/Rådatakommune[[#This Row],[B15-O]]</f>
        <v>0.11495901639344262</v>
      </c>
      <c r="Q170" s="34">
        <f>Rådatakommune[[#This Row],[Eldre67+-O]]/Rådatakommune[[#This Row],[B15-O]]</f>
        <v>0.15860655737704918</v>
      </c>
      <c r="R170" s="34">
        <f>Rådatakommune[[#This Row],[S14-O]]/Rådatakommune[[#This Row],[S04-O]]-1</f>
        <v>7.4702886247877798E-2</v>
      </c>
      <c r="S170" s="34">
        <f>Rådatakommune[[#This Row],[Y14-O]]/Rådatakommune[[#This Row],[Folk20-64-O]]</f>
        <v>0.87936154417223455</v>
      </c>
    </row>
    <row r="171" spans="1:19" x14ac:dyDescent="0.25">
      <c r="A171" s="2" t="s">
        <v>169</v>
      </c>
      <c r="B171" s="37">
        <v>7244</v>
      </c>
      <c r="C171" s="36">
        <v>8335</v>
      </c>
      <c r="D171" s="33">
        <v>4103</v>
      </c>
      <c r="E171" s="38">
        <v>1072</v>
      </c>
      <c r="F171" s="39">
        <v>1003</v>
      </c>
      <c r="G171">
        <v>4606</v>
      </c>
      <c r="H171" s="33">
        <v>3450</v>
      </c>
      <c r="I171" s="33">
        <v>3948</v>
      </c>
      <c r="J171" s="5">
        <v>391.13</v>
      </c>
      <c r="K171" s="40">
        <v>366700</v>
      </c>
      <c r="L171" s="45">
        <v>217.61666666669998</v>
      </c>
      <c r="M171" s="41">
        <v>5</v>
      </c>
      <c r="N171" s="32">
        <f>Rådatakommune[[#This Row],[B15-O]]/Rådatakommune[[#This Row],[Totalareal2015-O]]</f>
        <v>21.31005036688569</v>
      </c>
      <c r="O171" s="34">
        <f>Rådatakommune[[#This Row],[B15-O]]/Rådatakommune[[#This Row],[B05-O]]-1</f>
        <v>0.15060739922694655</v>
      </c>
      <c r="P171" s="34">
        <f>Rådatakommune[[#This Row],[Kvinner20-39-O]]/Rådatakommune[[#This Row],[B15-O]]</f>
        <v>0.12033593281343731</v>
      </c>
      <c r="Q171" s="34">
        <f>Rådatakommune[[#This Row],[Eldre67+-O]]/Rådatakommune[[#This Row],[B15-O]]</f>
        <v>0.12861427714457108</v>
      </c>
      <c r="R171" s="34">
        <f>Rådatakommune[[#This Row],[S14-O]]/Rådatakommune[[#This Row],[S04-O]]-1</f>
        <v>0.14434782608695662</v>
      </c>
      <c r="S171" s="34">
        <f>Rådatakommune[[#This Row],[Y14-O]]/Rådatakommune[[#This Row],[Folk20-64-O]]</f>
        <v>0.89079461571862784</v>
      </c>
    </row>
    <row r="172" spans="1:19" x14ac:dyDescent="0.25">
      <c r="A172" s="2" t="s">
        <v>170</v>
      </c>
      <c r="B172" s="37">
        <v>1594</v>
      </c>
      <c r="C172" s="36">
        <v>1693</v>
      </c>
      <c r="D172" s="33">
        <v>920</v>
      </c>
      <c r="E172" s="38">
        <v>255</v>
      </c>
      <c r="F172" s="39">
        <v>190</v>
      </c>
      <c r="G172">
        <v>948</v>
      </c>
      <c r="H172" s="33">
        <v>583</v>
      </c>
      <c r="I172" s="33">
        <v>707</v>
      </c>
      <c r="J172" s="5">
        <v>461.33</v>
      </c>
      <c r="K172" s="40">
        <v>383500</v>
      </c>
      <c r="L172" s="45">
        <v>212.61666666669998</v>
      </c>
      <c r="M172" s="41">
        <v>5</v>
      </c>
      <c r="N172" s="32">
        <f>Rådatakommune[[#This Row],[B15-O]]/Rådatakommune[[#This Row],[Totalareal2015-O]]</f>
        <v>3.6698242039321096</v>
      </c>
      <c r="O172" s="34">
        <f>Rådatakommune[[#This Row],[B15-O]]/Rådatakommune[[#This Row],[B05-O]]-1</f>
        <v>6.2107904642409117E-2</v>
      </c>
      <c r="P172" s="34">
        <f>Rådatakommune[[#This Row],[Kvinner20-39-O]]/Rådatakommune[[#This Row],[B15-O]]</f>
        <v>0.11222681630242173</v>
      </c>
      <c r="Q172" s="34">
        <f>Rådatakommune[[#This Row],[Eldre67+-O]]/Rådatakommune[[#This Row],[B15-O]]</f>
        <v>0.15062020082693445</v>
      </c>
      <c r="R172" s="34">
        <f>Rådatakommune[[#This Row],[S14-O]]/Rådatakommune[[#This Row],[S04-O]]-1</f>
        <v>0.21269296740994847</v>
      </c>
      <c r="S172" s="34">
        <f>Rådatakommune[[#This Row],[Y14-O]]/Rådatakommune[[#This Row],[Folk20-64-O]]</f>
        <v>0.97046413502109707</v>
      </c>
    </row>
    <row r="173" spans="1:19" x14ac:dyDescent="0.25">
      <c r="A173" s="2" t="s">
        <v>171</v>
      </c>
      <c r="B173" s="37">
        <v>5582</v>
      </c>
      <c r="C173" s="36">
        <v>5948</v>
      </c>
      <c r="D173" s="33">
        <v>2925</v>
      </c>
      <c r="E173" s="38">
        <v>922</v>
      </c>
      <c r="F173" s="39">
        <v>669</v>
      </c>
      <c r="G173">
        <v>3399</v>
      </c>
      <c r="H173" s="33">
        <v>2266</v>
      </c>
      <c r="I173" s="33">
        <v>2338</v>
      </c>
      <c r="J173" s="5">
        <v>962.41</v>
      </c>
      <c r="K173" s="40">
        <v>370200</v>
      </c>
      <c r="L173" s="45">
        <v>229.5833333333</v>
      </c>
      <c r="M173" s="41">
        <v>6</v>
      </c>
      <c r="N173" s="32">
        <f>Rådatakommune[[#This Row],[B15-O]]/Rådatakommune[[#This Row],[Totalareal2015-O]]</f>
        <v>6.1803181596201204</v>
      </c>
      <c r="O173" s="34">
        <f>Rådatakommune[[#This Row],[B15-O]]/Rådatakommune[[#This Row],[B05-O]]-1</f>
        <v>6.5567896811178805E-2</v>
      </c>
      <c r="P173" s="34">
        <f>Rådatakommune[[#This Row],[Kvinner20-39-O]]/Rådatakommune[[#This Row],[B15-O]]</f>
        <v>0.11247478143913921</v>
      </c>
      <c r="Q173" s="34">
        <f>Rådatakommune[[#This Row],[Eldre67+-O]]/Rådatakommune[[#This Row],[B15-O]]</f>
        <v>0.15501008742434433</v>
      </c>
      <c r="R173" s="34">
        <f>Rådatakommune[[#This Row],[S14-O]]/Rådatakommune[[#This Row],[S04-O]]-1</f>
        <v>3.1774051191526986E-2</v>
      </c>
      <c r="S173" s="34">
        <f>Rådatakommune[[#This Row],[Y14-O]]/Rådatakommune[[#This Row],[Folk20-64-O]]</f>
        <v>0.86054721977052073</v>
      </c>
    </row>
    <row r="174" spans="1:19" x14ac:dyDescent="0.25">
      <c r="A174" s="2" t="s">
        <v>172</v>
      </c>
      <c r="B174" s="37">
        <v>1760</v>
      </c>
      <c r="C174" s="36">
        <v>1838</v>
      </c>
      <c r="D174" s="33">
        <v>983</v>
      </c>
      <c r="E174" s="38">
        <v>299</v>
      </c>
      <c r="F174" s="39">
        <v>220</v>
      </c>
      <c r="G174">
        <v>1012</v>
      </c>
      <c r="H174" s="33">
        <v>943</v>
      </c>
      <c r="I174" s="33">
        <v>1066</v>
      </c>
      <c r="J174" s="5">
        <v>1554.8200000000002</v>
      </c>
      <c r="K174" s="40">
        <v>426300</v>
      </c>
      <c r="L174" s="45">
        <v>235.4</v>
      </c>
      <c r="M174" s="41">
        <v>7</v>
      </c>
      <c r="N174" s="32">
        <f>Rådatakommune[[#This Row],[B15-O]]/Rådatakommune[[#This Row],[Totalareal2015-O]]</f>
        <v>1.1821304073783458</v>
      </c>
      <c r="O174" s="34">
        <f>Rådatakommune[[#This Row],[B15-O]]/Rådatakommune[[#This Row],[B05-O]]-1</f>
        <v>4.4318181818181923E-2</v>
      </c>
      <c r="P174" s="34">
        <f>Rådatakommune[[#This Row],[Kvinner20-39-O]]/Rådatakommune[[#This Row],[B15-O]]</f>
        <v>0.11969532100108814</v>
      </c>
      <c r="Q174" s="34">
        <f>Rådatakommune[[#This Row],[Eldre67+-O]]/Rådatakommune[[#This Row],[B15-O]]</f>
        <v>0.16267682263329705</v>
      </c>
      <c r="R174" s="34">
        <f>Rådatakommune[[#This Row],[S14-O]]/Rådatakommune[[#This Row],[S04-O]]-1</f>
        <v>0.13043478260869557</v>
      </c>
      <c r="S174" s="34">
        <f>Rådatakommune[[#This Row],[Y14-O]]/Rådatakommune[[#This Row],[Folk20-64-O]]</f>
        <v>0.97134387351778662</v>
      </c>
    </row>
    <row r="175" spans="1:19" x14ac:dyDescent="0.25">
      <c r="A175" s="2" t="s">
        <v>173</v>
      </c>
      <c r="B175" s="37">
        <v>13408</v>
      </c>
      <c r="C175" s="36">
        <v>14916</v>
      </c>
      <c r="D175" s="33">
        <v>7877</v>
      </c>
      <c r="E175" s="38">
        <v>1992</v>
      </c>
      <c r="F175" s="39">
        <v>1764</v>
      </c>
      <c r="G175">
        <v>8631</v>
      </c>
      <c r="H175" s="33">
        <v>5937</v>
      </c>
      <c r="I175" s="33">
        <v>6698</v>
      </c>
      <c r="J175" s="5">
        <v>432.48</v>
      </c>
      <c r="K175" s="40">
        <v>416100</v>
      </c>
      <c r="L175" s="45">
        <v>208.78333333329999</v>
      </c>
      <c r="M175" s="41">
        <v>5</v>
      </c>
      <c r="N175" s="32">
        <f>Rådatakommune[[#This Row],[B15-O]]/Rådatakommune[[#This Row],[Totalareal2015-O]]</f>
        <v>34.489456159822417</v>
      </c>
      <c r="O175" s="34">
        <f>Rådatakommune[[#This Row],[B15-O]]/Rådatakommune[[#This Row],[B05-O]]-1</f>
        <v>0.11247016706443924</v>
      </c>
      <c r="P175" s="34">
        <f>Rådatakommune[[#This Row],[Kvinner20-39-O]]/Rådatakommune[[#This Row],[B15-O]]</f>
        <v>0.11826226870474658</v>
      </c>
      <c r="Q175" s="34">
        <f>Rådatakommune[[#This Row],[Eldre67+-O]]/Rådatakommune[[#This Row],[B15-O]]</f>
        <v>0.13354786806114241</v>
      </c>
      <c r="R175" s="34">
        <f>Rådatakommune[[#This Row],[S14-O]]/Rådatakommune[[#This Row],[S04-O]]-1</f>
        <v>0.1281792150917973</v>
      </c>
      <c r="S175" s="34">
        <f>Rådatakommune[[#This Row],[Y14-O]]/Rådatakommune[[#This Row],[Folk20-64-O]]</f>
        <v>0.91264048198354764</v>
      </c>
    </row>
    <row r="176" spans="1:19" x14ac:dyDescent="0.25">
      <c r="A176" s="2" t="s">
        <v>174</v>
      </c>
      <c r="B176" s="37">
        <v>57618</v>
      </c>
      <c r="C176" s="36">
        <v>73624</v>
      </c>
      <c r="D176" s="33">
        <v>40057</v>
      </c>
      <c r="E176" s="38">
        <v>7281</v>
      </c>
      <c r="F176" s="39">
        <v>10722</v>
      </c>
      <c r="G176">
        <v>44722</v>
      </c>
      <c r="H176" s="33">
        <v>27965</v>
      </c>
      <c r="I176" s="33">
        <v>36828</v>
      </c>
      <c r="J176" s="5">
        <v>304.39</v>
      </c>
      <c r="K176" s="40">
        <v>473500</v>
      </c>
      <c r="L176" s="45">
        <v>161.98333333329998</v>
      </c>
      <c r="M176" s="41">
        <v>2</v>
      </c>
      <c r="N176" s="32">
        <f>Rådatakommune[[#This Row],[B15-O]]/Rådatakommune[[#This Row],[Totalareal2015-O]]</f>
        <v>241.87391175794212</v>
      </c>
      <c r="O176" s="34">
        <f>Rådatakommune[[#This Row],[B15-O]]/Rådatakommune[[#This Row],[B05-O]]-1</f>
        <v>0.27779513346523665</v>
      </c>
      <c r="P176" s="34">
        <f>Rådatakommune[[#This Row],[Kvinner20-39-O]]/Rådatakommune[[#This Row],[B15-O]]</f>
        <v>0.14563185917635554</v>
      </c>
      <c r="Q176" s="34">
        <f>Rådatakommune[[#This Row],[Eldre67+-O]]/Rådatakommune[[#This Row],[B15-O]]</f>
        <v>9.8894382266652175E-2</v>
      </c>
      <c r="R176" s="34">
        <f>Rådatakommune[[#This Row],[S14-O]]/Rådatakommune[[#This Row],[S04-O]]-1</f>
        <v>0.3169318791346325</v>
      </c>
      <c r="S176" s="34">
        <f>Rådatakommune[[#This Row],[Y14-O]]/Rådatakommune[[#This Row],[Folk20-64-O]]</f>
        <v>0.8956889226778767</v>
      </c>
    </row>
    <row r="177" spans="1:19" x14ac:dyDescent="0.25">
      <c r="A177" s="2" t="s">
        <v>175</v>
      </c>
      <c r="B177" s="37">
        <v>113991</v>
      </c>
      <c r="C177" s="36">
        <v>132102</v>
      </c>
      <c r="D177" s="33">
        <v>71881</v>
      </c>
      <c r="E177" s="38">
        <v>14480</v>
      </c>
      <c r="F177" s="39">
        <v>19669</v>
      </c>
      <c r="G177">
        <v>82606</v>
      </c>
      <c r="H177" s="33">
        <v>65361</v>
      </c>
      <c r="I177" s="33">
        <v>83477</v>
      </c>
      <c r="J177" s="5">
        <v>71.350000000000009</v>
      </c>
      <c r="K177" s="40">
        <v>519400</v>
      </c>
      <c r="L177" s="45">
        <v>161.9</v>
      </c>
      <c r="M177" s="41">
        <v>2</v>
      </c>
      <c r="N177" s="32">
        <f>Rådatakommune[[#This Row],[B15-O]]/Rådatakommune[[#This Row],[Totalareal2015-O]]</f>
        <v>1851.4646110721792</v>
      </c>
      <c r="O177" s="34">
        <f>Rådatakommune[[#This Row],[B15-O]]/Rådatakommune[[#This Row],[B05-O]]-1</f>
        <v>0.15888096428665421</v>
      </c>
      <c r="P177" s="34">
        <f>Rådatakommune[[#This Row],[Kvinner20-39-O]]/Rådatakommune[[#This Row],[B15-O]]</f>
        <v>0.14889252244477752</v>
      </c>
      <c r="Q177" s="34">
        <f>Rådatakommune[[#This Row],[Eldre67+-O]]/Rådatakommune[[#This Row],[B15-O]]</f>
        <v>0.10961226930705062</v>
      </c>
      <c r="R177" s="34">
        <f>Rådatakommune[[#This Row],[S14-O]]/Rådatakommune[[#This Row],[S04-O]]-1</f>
        <v>0.27716834197763185</v>
      </c>
      <c r="S177" s="34">
        <f>Rådatakommune[[#This Row],[Y14-O]]/Rådatakommune[[#This Row],[Folk20-64-O]]</f>
        <v>0.87016681596978429</v>
      </c>
    </row>
    <row r="178" spans="1:19" x14ac:dyDescent="0.25">
      <c r="A178" s="2" t="s">
        <v>176</v>
      </c>
      <c r="B178" s="37">
        <v>31530</v>
      </c>
      <c r="C178" s="36">
        <v>36538</v>
      </c>
      <c r="D178" s="33">
        <v>18608</v>
      </c>
      <c r="E178" s="38">
        <v>4803</v>
      </c>
      <c r="F178" s="39">
        <v>4929</v>
      </c>
      <c r="G178">
        <v>22160</v>
      </c>
      <c r="H178" s="33">
        <v>18535</v>
      </c>
      <c r="I178" s="33">
        <v>22191</v>
      </c>
      <c r="J178" s="5">
        <v>72.67</v>
      </c>
      <c r="K178" s="40">
        <v>409200</v>
      </c>
      <c r="L178" s="45">
        <v>163.6666666667</v>
      </c>
      <c r="M178" s="41">
        <v>4</v>
      </c>
      <c r="N178" s="32">
        <f>Rådatakommune[[#This Row],[B15-O]]/Rådatakommune[[#This Row],[Totalareal2015-O]]</f>
        <v>502.79344984175037</v>
      </c>
      <c r="O178" s="34">
        <f>Rådatakommune[[#This Row],[B15-O]]/Rådatakommune[[#This Row],[B05-O]]-1</f>
        <v>0.15883285759594035</v>
      </c>
      <c r="P178" s="34">
        <f>Rådatakommune[[#This Row],[Kvinner20-39-O]]/Rådatakommune[[#This Row],[B15-O]]</f>
        <v>0.13490065137664897</v>
      </c>
      <c r="Q178" s="34">
        <f>Rådatakommune[[#This Row],[Eldre67+-O]]/Rådatakommune[[#This Row],[B15-O]]</f>
        <v>0.13145218676446441</v>
      </c>
      <c r="R178" s="34">
        <f>Rådatakommune[[#This Row],[S14-O]]/Rådatakommune[[#This Row],[S04-O]]-1</f>
        <v>0.19724844888049642</v>
      </c>
      <c r="S178" s="34">
        <f>Rådatakommune[[#This Row],[Y14-O]]/Rådatakommune[[#This Row],[Folk20-64-O]]</f>
        <v>0.83971119133574013</v>
      </c>
    </row>
    <row r="179" spans="1:19" x14ac:dyDescent="0.25">
      <c r="A179" s="2" t="s">
        <v>177</v>
      </c>
      <c r="B179" s="37">
        <v>3309</v>
      </c>
      <c r="C179" s="36">
        <v>3309</v>
      </c>
      <c r="D179" s="33">
        <v>1664</v>
      </c>
      <c r="E179" s="38">
        <v>536</v>
      </c>
      <c r="F179" s="39">
        <v>384</v>
      </c>
      <c r="G179">
        <v>1834</v>
      </c>
      <c r="H179" s="33">
        <v>1101</v>
      </c>
      <c r="I179" s="33">
        <v>1258</v>
      </c>
      <c r="J179" s="5">
        <v>294.96999999999997</v>
      </c>
      <c r="K179" s="40">
        <v>393000</v>
      </c>
      <c r="L179" s="45">
        <v>225.46666666670001</v>
      </c>
      <c r="M179" s="41">
        <v>5</v>
      </c>
      <c r="N179" s="32">
        <f>Rådatakommune[[#This Row],[B15-O]]/Rådatakommune[[#This Row],[Totalareal2015-O]]</f>
        <v>11.218089975251722</v>
      </c>
      <c r="O179" s="34">
        <f>Rådatakommune[[#This Row],[B15-O]]/Rådatakommune[[#This Row],[B05-O]]-1</f>
        <v>0</v>
      </c>
      <c r="P179" s="34">
        <f>Rådatakommune[[#This Row],[Kvinner20-39-O]]/Rådatakommune[[#This Row],[B15-O]]</f>
        <v>0.11604714415231188</v>
      </c>
      <c r="Q179" s="34">
        <f>Rådatakommune[[#This Row],[Eldre67+-O]]/Rådatakommune[[#This Row],[B15-O]]</f>
        <v>0.16198247204593533</v>
      </c>
      <c r="R179" s="34">
        <f>Rådatakommune[[#This Row],[S14-O]]/Rådatakommune[[#This Row],[S04-O]]-1</f>
        <v>0.14259763851044505</v>
      </c>
      <c r="S179" s="34">
        <f>Rådatakommune[[#This Row],[Y14-O]]/Rådatakommune[[#This Row],[Folk20-64-O]]</f>
        <v>0.90730643402399125</v>
      </c>
    </row>
    <row r="180" spans="1:19" x14ac:dyDescent="0.25">
      <c r="A180" s="2" t="s">
        <v>178</v>
      </c>
      <c r="B180" s="37">
        <v>3129</v>
      </c>
      <c r="C180" s="36">
        <v>3247</v>
      </c>
      <c r="D180" s="33">
        <v>1631</v>
      </c>
      <c r="E180" s="38">
        <v>457</v>
      </c>
      <c r="F180" s="39">
        <v>378</v>
      </c>
      <c r="G180">
        <v>1790</v>
      </c>
      <c r="H180" s="33">
        <v>1486</v>
      </c>
      <c r="I180" s="33">
        <v>1376</v>
      </c>
      <c r="J180" s="5">
        <v>408.42</v>
      </c>
      <c r="K180" s="40">
        <v>369900</v>
      </c>
      <c r="L180" s="45">
        <v>230.46666666670001</v>
      </c>
      <c r="M180" s="41">
        <v>6</v>
      </c>
      <c r="N180" s="32">
        <f>Rådatakommune[[#This Row],[B15-O]]/Rådatakommune[[#This Row],[Totalareal2015-O]]</f>
        <v>7.9501493560550411</v>
      </c>
      <c r="O180" s="34">
        <f>Rådatakommune[[#This Row],[B15-O]]/Rådatakommune[[#This Row],[B05-O]]-1</f>
        <v>3.7711728986896675E-2</v>
      </c>
      <c r="P180" s="34">
        <f>Rådatakommune[[#This Row],[Kvinner20-39-O]]/Rådatakommune[[#This Row],[B15-O]]</f>
        <v>0.11641515244841392</v>
      </c>
      <c r="Q180" s="34">
        <f>Rådatakommune[[#This Row],[Eldre67+-O]]/Rådatakommune[[#This Row],[B15-O]]</f>
        <v>0.14074530335694488</v>
      </c>
      <c r="R180" s="34">
        <f>Rådatakommune[[#This Row],[S14-O]]/Rådatakommune[[#This Row],[S04-O]]-1</f>
        <v>-7.4024226110363411E-2</v>
      </c>
      <c r="S180" s="34">
        <f>Rådatakommune[[#This Row],[Y14-O]]/Rådatakommune[[#This Row],[Folk20-64-O]]</f>
        <v>0.91117318435754191</v>
      </c>
    </row>
    <row r="181" spans="1:19" x14ac:dyDescent="0.25">
      <c r="A181" s="2" t="s">
        <v>179</v>
      </c>
      <c r="B181" s="37">
        <v>2463</v>
      </c>
      <c r="C181" s="36">
        <v>2861</v>
      </c>
      <c r="D181" s="33">
        <v>1583</v>
      </c>
      <c r="E181" s="38">
        <v>321</v>
      </c>
      <c r="F181" s="39">
        <v>363</v>
      </c>
      <c r="G181">
        <v>1637</v>
      </c>
      <c r="H181" s="33">
        <v>1073</v>
      </c>
      <c r="I181" s="33">
        <v>1119</v>
      </c>
      <c r="J181" s="5">
        <v>650.55999999999995</v>
      </c>
      <c r="K181" s="40">
        <v>418800</v>
      </c>
      <c r="L181" s="45">
        <v>189.85</v>
      </c>
      <c r="M181" s="41">
        <v>2</v>
      </c>
      <c r="N181" s="32">
        <f>Rådatakommune[[#This Row],[B15-O]]/Rådatakommune[[#This Row],[Totalareal2015-O]]</f>
        <v>4.3977496310870636</v>
      </c>
      <c r="O181" s="34">
        <f>Rådatakommune[[#This Row],[B15-O]]/Rådatakommune[[#This Row],[B05-O]]-1</f>
        <v>0.16159155501421041</v>
      </c>
      <c r="P181" s="34">
        <f>Rådatakommune[[#This Row],[Kvinner20-39-O]]/Rådatakommune[[#This Row],[B15-O]]</f>
        <v>0.12687871373645579</v>
      </c>
      <c r="Q181" s="34">
        <f>Rådatakommune[[#This Row],[Eldre67+-O]]/Rådatakommune[[#This Row],[B15-O]]</f>
        <v>0.11219853198182454</v>
      </c>
      <c r="R181" s="34">
        <f>Rådatakommune[[#This Row],[S14-O]]/Rådatakommune[[#This Row],[S04-O]]-1</f>
        <v>4.2870456663560041E-2</v>
      </c>
      <c r="S181" s="34">
        <f>Rådatakommune[[#This Row],[Y14-O]]/Rådatakommune[[#This Row],[Folk20-64-O]]</f>
        <v>0.96701282834453273</v>
      </c>
    </row>
    <row r="182" spans="1:19" x14ac:dyDescent="0.25">
      <c r="A182" s="2" t="s">
        <v>180</v>
      </c>
      <c r="B182" s="37">
        <v>14784</v>
      </c>
      <c r="C182" s="36">
        <v>18528</v>
      </c>
      <c r="D182" s="33">
        <v>10204</v>
      </c>
      <c r="E182" s="38">
        <v>1949</v>
      </c>
      <c r="F182" s="39">
        <v>2544</v>
      </c>
      <c r="G182">
        <v>10753</v>
      </c>
      <c r="H182" s="33">
        <v>6409</v>
      </c>
      <c r="I182" s="33">
        <v>7916</v>
      </c>
      <c r="J182" s="5">
        <v>257.99</v>
      </c>
      <c r="K182" s="40">
        <v>417600</v>
      </c>
      <c r="L182" s="45">
        <v>185.6666666667</v>
      </c>
      <c r="M182" s="41">
        <v>2</v>
      </c>
      <c r="N182" s="32">
        <f>Rådatakommune[[#This Row],[B15-O]]/Rådatakommune[[#This Row],[Totalareal2015-O]]</f>
        <v>71.81673708283266</v>
      </c>
      <c r="O182" s="34">
        <f>Rådatakommune[[#This Row],[B15-O]]/Rådatakommune[[#This Row],[B05-O]]-1</f>
        <v>0.25324675324675328</v>
      </c>
      <c r="P182" s="34">
        <f>Rådatakommune[[#This Row],[Kvinner20-39-O]]/Rådatakommune[[#This Row],[B15-O]]</f>
        <v>0.13730569948186527</v>
      </c>
      <c r="Q182" s="34">
        <f>Rådatakommune[[#This Row],[Eldre67+-O]]/Rådatakommune[[#This Row],[B15-O]]</f>
        <v>0.10519214162348878</v>
      </c>
      <c r="R182" s="34">
        <f>Rådatakommune[[#This Row],[S14-O]]/Rådatakommune[[#This Row],[S04-O]]-1</f>
        <v>0.23513808706506478</v>
      </c>
      <c r="S182" s="34">
        <f>Rådatakommune[[#This Row],[Y14-O]]/Rådatakommune[[#This Row],[Folk20-64-O]]</f>
        <v>0.94894448061006231</v>
      </c>
    </row>
    <row r="183" spans="1:19" x14ac:dyDescent="0.25">
      <c r="A183" s="2" t="s">
        <v>181</v>
      </c>
      <c r="B183" s="37">
        <v>14536</v>
      </c>
      <c r="C183" s="36">
        <v>18741</v>
      </c>
      <c r="D183" s="33">
        <v>10413</v>
      </c>
      <c r="E183" s="38">
        <v>1900</v>
      </c>
      <c r="F183" s="39">
        <v>2564</v>
      </c>
      <c r="G183">
        <v>10887</v>
      </c>
      <c r="H183" s="33">
        <v>5592</v>
      </c>
      <c r="I183" s="33">
        <v>8320</v>
      </c>
      <c r="J183" s="5">
        <v>113.49</v>
      </c>
      <c r="K183" s="40">
        <v>447700</v>
      </c>
      <c r="L183" s="45">
        <v>167.85</v>
      </c>
      <c r="M183" s="41">
        <v>2</v>
      </c>
      <c r="N183" s="32">
        <f>Rådatakommune[[#This Row],[B15-O]]/Rådatakommune[[#This Row],[Totalareal2015-O]]</f>
        <v>165.13349193761564</v>
      </c>
      <c r="O183" s="34">
        <f>Rådatakommune[[#This Row],[B15-O]]/Rådatakommune[[#This Row],[B05-O]]-1</f>
        <v>0.28928178315905329</v>
      </c>
      <c r="P183" s="34">
        <f>Rådatakommune[[#This Row],[Kvinner20-39-O]]/Rådatakommune[[#This Row],[B15-O]]</f>
        <v>0.13681233658822903</v>
      </c>
      <c r="Q183" s="34">
        <f>Rådatakommune[[#This Row],[Eldre67+-O]]/Rådatakommune[[#This Row],[B15-O]]</f>
        <v>0.10138199669174537</v>
      </c>
      <c r="R183" s="34">
        <f>Rådatakommune[[#This Row],[S14-O]]/Rådatakommune[[#This Row],[S04-O]]-1</f>
        <v>0.48783977110157362</v>
      </c>
      <c r="S183" s="34">
        <f>Rådatakommune[[#This Row],[Y14-O]]/Rådatakommune[[#This Row],[Folk20-64-O]]</f>
        <v>0.95646183521631301</v>
      </c>
    </row>
    <row r="184" spans="1:19" x14ac:dyDescent="0.25">
      <c r="A184" s="2" t="s">
        <v>182</v>
      </c>
      <c r="B184" s="37">
        <v>14461</v>
      </c>
      <c r="C184" s="36">
        <v>18306</v>
      </c>
      <c r="D184" s="33">
        <v>10140</v>
      </c>
      <c r="E184" s="38">
        <v>1934</v>
      </c>
      <c r="F184" s="39">
        <v>2573</v>
      </c>
      <c r="G184">
        <v>10880</v>
      </c>
      <c r="H184" s="33">
        <v>6451</v>
      </c>
      <c r="I184" s="33">
        <v>7917</v>
      </c>
      <c r="J184" s="5">
        <v>183.19</v>
      </c>
      <c r="K184" s="40">
        <v>455100</v>
      </c>
      <c r="L184" s="45">
        <v>172.03333333329999</v>
      </c>
      <c r="M184" s="41">
        <v>2</v>
      </c>
      <c r="N184" s="32">
        <f>Rådatakommune[[#This Row],[B15-O]]/Rådatakommune[[#This Row],[Totalareal2015-O]]</f>
        <v>99.929035427698025</v>
      </c>
      <c r="O184" s="34">
        <f>Rådatakommune[[#This Row],[B15-O]]/Rådatakommune[[#This Row],[B05-O]]-1</f>
        <v>0.26588755964317823</v>
      </c>
      <c r="P184" s="34">
        <f>Rådatakommune[[#This Row],[Kvinner20-39-O]]/Rådatakommune[[#This Row],[B15-O]]</f>
        <v>0.14055500928657272</v>
      </c>
      <c r="Q184" s="34">
        <f>Rådatakommune[[#This Row],[Eldre67+-O]]/Rådatakommune[[#This Row],[B15-O]]</f>
        <v>0.10564842128263957</v>
      </c>
      <c r="R184" s="34">
        <f>Rådatakommune[[#This Row],[S14-O]]/Rådatakommune[[#This Row],[S04-O]]-1</f>
        <v>0.22725158890094566</v>
      </c>
      <c r="S184" s="34">
        <f>Rådatakommune[[#This Row],[Y14-O]]/Rådatakommune[[#This Row],[Folk20-64-O]]</f>
        <v>0.93198529411764708</v>
      </c>
    </row>
    <row r="185" spans="1:19" x14ac:dyDescent="0.25">
      <c r="A185" s="2" t="s">
        <v>183</v>
      </c>
      <c r="B185" s="37">
        <v>9273</v>
      </c>
      <c r="C185" s="36">
        <v>11600</v>
      </c>
      <c r="D185" s="33">
        <v>6576</v>
      </c>
      <c r="E185" s="38">
        <v>930</v>
      </c>
      <c r="F185" s="39">
        <v>1682</v>
      </c>
      <c r="G185">
        <v>7026</v>
      </c>
      <c r="H185" s="33">
        <v>2751</v>
      </c>
      <c r="I185" s="33">
        <v>3766</v>
      </c>
      <c r="J185" s="5">
        <v>617.95000000000005</v>
      </c>
      <c r="K185" s="40">
        <v>437100</v>
      </c>
      <c r="L185" s="45">
        <v>171.65</v>
      </c>
      <c r="M185" s="41">
        <v>2</v>
      </c>
      <c r="N185" s="32">
        <f>Rådatakommune[[#This Row],[B15-O]]/Rådatakommune[[#This Row],[Totalareal2015-O]]</f>
        <v>18.771745286835504</v>
      </c>
      <c r="O185" s="34">
        <f>Rådatakommune[[#This Row],[B15-O]]/Rådatakommune[[#This Row],[B05-O]]-1</f>
        <v>0.25094359969804803</v>
      </c>
      <c r="P185" s="34">
        <f>Rådatakommune[[#This Row],[Kvinner20-39-O]]/Rådatakommune[[#This Row],[B15-O]]</f>
        <v>0.14499999999999999</v>
      </c>
      <c r="Q185" s="34">
        <f>Rådatakommune[[#This Row],[Eldre67+-O]]/Rådatakommune[[#This Row],[B15-O]]</f>
        <v>8.0172413793103442E-2</v>
      </c>
      <c r="R185" s="34">
        <f>Rådatakommune[[#This Row],[S14-O]]/Rådatakommune[[#This Row],[S04-O]]-1</f>
        <v>0.36895674300254444</v>
      </c>
      <c r="S185" s="34">
        <f>Rådatakommune[[#This Row],[Y14-O]]/Rådatakommune[[#This Row],[Folk20-64-O]]</f>
        <v>0.93595217762596072</v>
      </c>
    </row>
    <row r="186" spans="1:19" x14ac:dyDescent="0.25">
      <c r="A186" s="2" t="s">
        <v>184</v>
      </c>
      <c r="B186" s="37">
        <v>19832</v>
      </c>
      <c r="C186" s="36">
        <v>25708</v>
      </c>
      <c r="D186" s="33">
        <v>14221</v>
      </c>
      <c r="E186" s="38">
        <v>2566</v>
      </c>
      <c r="F186" s="39">
        <v>3650</v>
      </c>
      <c r="G186">
        <v>15532</v>
      </c>
      <c r="H186" s="33">
        <v>13862</v>
      </c>
      <c r="I186" s="33">
        <v>25205</v>
      </c>
      <c r="J186" s="5">
        <v>68.69</v>
      </c>
      <c r="K186" s="40">
        <v>534000</v>
      </c>
      <c r="L186" s="45">
        <v>154.28333333333001</v>
      </c>
      <c r="M186" s="41">
        <v>2</v>
      </c>
      <c r="N186" s="32">
        <f>Rådatakommune[[#This Row],[B15-O]]/Rådatakommune[[#This Row],[Totalareal2015-O]]</f>
        <v>374.26117338768381</v>
      </c>
      <c r="O186" s="34">
        <f>Rådatakommune[[#This Row],[B15-O]]/Rådatakommune[[#This Row],[B05-O]]-1</f>
        <v>0.29628882613957241</v>
      </c>
      <c r="P186" s="34">
        <f>Rådatakommune[[#This Row],[Kvinner20-39-O]]/Rådatakommune[[#This Row],[B15-O]]</f>
        <v>0.14197915045900109</v>
      </c>
      <c r="Q186" s="34">
        <f>Rådatakommune[[#This Row],[Eldre67+-O]]/Rådatakommune[[#This Row],[B15-O]]</f>
        <v>9.9813287692547062E-2</v>
      </c>
      <c r="R186" s="34">
        <f>Rådatakommune[[#This Row],[S14-O]]/Rådatakommune[[#This Row],[S04-O]]-1</f>
        <v>0.8182801904487087</v>
      </c>
      <c r="S186" s="34">
        <f>Rådatakommune[[#This Row],[Y14-O]]/Rådatakommune[[#This Row],[Folk20-64-O]]</f>
        <v>0.91559361318568122</v>
      </c>
    </row>
    <row r="187" spans="1:19" x14ac:dyDescent="0.25">
      <c r="A187" s="2" t="s">
        <v>185</v>
      </c>
      <c r="B187" s="37">
        <v>9099</v>
      </c>
      <c r="C187" s="36">
        <v>10556</v>
      </c>
      <c r="D187" s="33">
        <v>5691</v>
      </c>
      <c r="E187" s="38">
        <v>1179</v>
      </c>
      <c r="F187" s="39">
        <v>1302</v>
      </c>
      <c r="G187">
        <v>6156</v>
      </c>
      <c r="H187" s="33">
        <v>2728</v>
      </c>
      <c r="I187" s="33">
        <v>3728</v>
      </c>
      <c r="J187" s="5">
        <v>24.71</v>
      </c>
      <c r="K187" s="40">
        <v>504500</v>
      </c>
      <c r="L187" s="45">
        <v>166.8333333333</v>
      </c>
      <c r="M187" s="41">
        <v>2</v>
      </c>
      <c r="N187" s="32">
        <f>Rådatakommune[[#This Row],[B15-O]]/Rådatakommune[[#This Row],[Totalareal2015-O]]</f>
        <v>427.19546742209633</v>
      </c>
      <c r="O187" s="34">
        <f>Rådatakommune[[#This Row],[B15-O]]/Rådatakommune[[#This Row],[B05-O]]-1</f>
        <v>0.16012748653698217</v>
      </c>
      <c r="P187" s="34">
        <f>Rådatakommune[[#This Row],[Kvinner20-39-O]]/Rådatakommune[[#This Row],[B15-O]]</f>
        <v>0.123342175066313</v>
      </c>
      <c r="Q187" s="34">
        <f>Rådatakommune[[#This Row],[Eldre67+-O]]/Rådatakommune[[#This Row],[B15-O]]</f>
        <v>0.1116900341038272</v>
      </c>
      <c r="R187" s="34">
        <f>Rådatakommune[[#This Row],[S14-O]]/Rådatakommune[[#This Row],[S04-O]]-1</f>
        <v>0.36656891495601163</v>
      </c>
      <c r="S187" s="34">
        <f>Rådatakommune[[#This Row],[Y14-O]]/Rådatakommune[[#This Row],[Folk20-64-O]]</f>
        <v>0.92446393762183232</v>
      </c>
    </row>
    <row r="188" spans="1:19" x14ac:dyDescent="0.25">
      <c r="A188" s="2" t="s">
        <v>186</v>
      </c>
      <c r="B188" s="37">
        <v>1102</v>
      </c>
      <c r="C188" s="36">
        <v>1208</v>
      </c>
      <c r="D188" s="33">
        <v>631</v>
      </c>
      <c r="E188" s="38">
        <v>160</v>
      </c>
      <c r="F188" s="39">
        <v>120</v>
      </c>
      <c r="G188">
        <v>656</v>
      </c>
      <c r="H188" s="33">
        <v>507</v>
      </c>
      <c r="I188" s="33">
        <v>585</v>
      </c>
      <c r="J188" s="5">
        <v>780.05</v>
      </c>
      <c r="K188" s="40">
        <v>413800</v>
      </c>
      <c r="L188" s="45">
        <v>198.3333333333</v>
      </c>
      <c r="M188" s="41">
        <v>2</v>
      </c>
      <c r="N188" s="32">
        <f>Rådatakommune[[#This Row],[B15-O]]/Rådatakommune[[#This Row],[Totalareal2015-O]]</f>
        <v>1.5486186782898532</v>
      </c>
      <c r="O188" s="34">
        <f>Rådatakommune[[#This Row],[B15-O]]/Rådatakommune[[#This Row],[B05-O]]-1</f>
        <v>9.6188747731397406E-2</v>
      </c>
      <c r="P188" s="34">
        <f>Rådatakommune[[#This Row],[Kvinner20-39-O]]/Rådatakommune[[#This Row],[B15-O]]</f>
        <v>9.9337748344370855E-2</v>
      </c>
      <c r="Q188" s="34">
        <f>Rådatakommune[[#This Row],[Eldre67+-O]]/Rådatakommune[[#This Row],[B15-O]]</f>
        <v>0.13245033112582782</v>
      </c>
      <c r="R188" s="34">
        <f>Rådatakommune[[#This Row],[S14-O]]/Rådatakommune[[#This Row],[S04-O]]-1</f>
        <v>0.15384615384615374</v>
      </c>
      <c r="S188" s="34">
        <f>Rådatakommune[[#This Row],[Y14-O]]/Rådatakommune[[#This Row],[Folk20-64-O]]</f>
        <v>0.96189024390243905</v>
      </c>
    </row>
    <row r="189" spans="1:19" x14ac:dyDescent="0.25">
      <c r="A189" s="2" t="s">
        <v>187</v>
      </c>
      <c r="B189" s="37">
        <v>10441</v>
      </c>
      <c r="C189" s="36">
        <v>12395</v>
      </c>
      <c r="D189" s="33">
        <v>6295</v>
      </c>
      <c r="E189" s="38">
        <v>1555</v>
      </c>
      <c r="F189" s="39">
        <v>1616</v>
      </c>
      <c r="G189">
        <v>7051</v>
      </c>
      <c r="H189" s="33">
        <v>3338</v>
      </c>
      <c r="I189" s="33">
        <v>4330</v>
      </c>
      <c r="J189" s="5">
        <v>218.14000000000001</v>
      </c>
      <c r="K189" s="40">
        <v>427100</v>
      </c>
      <c r="L189" s="45">
        <v>206.5666666667</v>
      </c>
      <c r="M189" s="41">
        <v>2</v>
      </c>
      <c r="N189" s="32">
        <f>Rådatakommune[[#This Row],[B15-O]]/Rådatakommune[[#This Row],[Totalareal2015-O]]</f>
        <v>56.821307417254971</v>
      </c>
      <c r="O189" s="34">
        <f>Rådatakommune[[#This Row],[B15-O]]/Rådatakommune[[#This Row],[B05-O]]-1</f>
        <v>0.18714682501676094</v>
      </c>
      <c r="P189" s="34">
        <f>Rådatakommune[[#This Row],[Kvinner20-39-O]]/Rådatakommune[[#This Row],[B15-O]]</f>
        <v>0.13037515127067367</v>
      </c>
      <c r="Q189" s="34">
        <f>Rådatakommune[[#This Row],[Eldre67+-O]]/Rådatakommune[[#This Row],[B15-O]]</f>
        <v>0.12545381202097619</v>
      </c>
      <c r="R189" s="34">
        <f>Rådatakommune[[#This Row],[S14-O]]/Rådatakommune[[#This Row],[S04-O]]-1</f>
        <v>0.29718394248052715</v>
      </c>
      <c r="S189" s="34">
        <f>Rådatakommune[[#This Row],[Y14-O]]/Rådatakommune[[#This Row],[Folk20-64-O]]</f>
        <v>0.89278116579208622</v>
      </c>
    </row>
    <row r="190" spans="1:19" x14ac:dyDescent="0.25">
      <c r="A190" s="2" t="s">
        <v>188</v>
      </c>
      <c r="B190" s="37">
        <v>2736</v>
      </c>
      <c r="C190" s="36">
        <v>2785</v>
      </c>
      <c r="D190" s="33">
        <v>1475</v>
      </c>
      <c r="E190" s="38">
        <v>428</v>
      </c>
      <c r="F190" s="39">
        <v>294</v>
      </c>
      <c r="G190">
        <v>1502</v>
      </c>
      <c r="H190" s="33">
        <v>1424</v>
      </c>
      <c r="I190" s="33">
        <v>1326</v>
      </c>
      <c r="J190" s="5">
        <v>1088.82</v>
      </c>
      <c r="K190" s="40">
        <v>415200</v>
      </c>
      <c r="L190" s="45">
        <v>248.9</v>
      </c>
      <c r="M190" s="41">
        <v>11</v>
      </c>
      <c r="N190" s="32">
        <f>Rådatakommune[[#This Row],[B15-O]]/Rådatakommune[[#This Row],[Totalareal2015-O]]</f>
        <v>2.5578148821660149</v>
      </c>
      <c r="O190" s="34">
        <f>Rådatakommune[[#This Row],[B15-O]]/Rådatakommune[[#This Row],[B05-O]]-1</f>
        <v>1.7909356725146264E-2</v>
      </c>
      <c r="P190" s="34">
        <f>Rådatakommune[[#This Row],[Kvinner20-39-O]]/Rådatakommune[[#This Row],[B15-O]]</f>
        <v>0.10556552962298026</v>
      </c>
      <c r="Q190" s="34">
        <f>Rådatakommune[[#This Row],[Eldre67+-O]]/Rådatakommune[[#This Row],[B15-O]]</f>
        <v>0.15368043087971275</v>
      </c>
      <c r="R190" s="34">
        <f>Rådatakommune[[#This Row],[S14-O]]/Rådatakommune[[#This Row],[S04-O]]-1</f>
        <v>-6.8820224719101097E-2</v>
      </c>
      <c r="S190" s="34">
        <f>Rådatakommune[[#This Row],[Y14-O]]/Rådatakommune[[#This Row],[Folk20-64-O]]</f>
        <v>0.98202396804260983</v>
      </c>
    </row>
    <row r="191" spans="1:19" x14ac:dyDescent="0.25">
      <c r="A191" s="2" t="s">
        <v>189</v>
      </c>
      <c r="B191" s="37">
        <v>3901</v>
      </c>
      <c r="C191" s="36">
        <v>3892</v>
      </c>
      <c r="D191" s="33">
        <v>2073</v>
      </c>
      <c r="E191" s="38">
        <v>640</v>
      </c>
      <c r="F191" s="39">
        <v>426</v>
      </c>
      <c r="G191">
        <v>2115</v>
      </c>
      <c r="H191" s="33">
        <v>2015</v>
      </c>
      <c r="I191" s="33">
        <v>2184</v>
      </c>
      <c r="J191" s="5">
        <v>1736.88</v>
      </c>
      <c r="K191" s="40">
        <v>385200</v>
      </c>
      <c r="L191" s="45">
        <v>238.03333333329999</v>
      </c>
      <c r="M191" s="41">
        <v>10</v>
      </c>
      <c r="N191" s="32">
        <f>Rådatakommune[[#This Row],[B15-O]]/Rådatakommune[[#This Row],[Totalareal2015-O]]</f>
        <v>2.2407995946755102</v>
      </c>
      <c r="O191" s="34">
        <f>Rådatakommune[[#This Row],[B15-O]]/Rådatakommune[[#This Row],[B05-O]]-1</f>
        <v>-2.3071007433991264E-3</v>
      </c>
      <c r="P191" s="34">
        <f>Rådatakommune[[#This Row],[Kvinner20-39-O]]/Rådatakommune[[#This Row],[B15-O]]</f>
        <v>0.10945529290853032</v>
      </c>
      <c r="Q191" s="34">
        <f>Rådatakommune[[#This Row],[Eldre67+-O]]/Rådatakommune[[#This Row],[B15-O]]</f>
        <v>0.16443987667009249</v>
      </c>
      <c r="R191" s="34">
        <f>Rådatakommune[[#This Row],[S14-O]]/Rådatakommune[[#This Row],[S04-O]]-1</f>
        <v>8.3870967741935587E-2</v>
      </c>
      <c r="S191" s="34">
        <f>Rådatakommune[[#This Row],[Y14-O]]/Rådatakommune[[#This Row],[Folk20-64-O]]</f>
        <v>0.98014184397163118</v>
      </c>
    </row>
    <row r="192" spans="1:19" x14ac:dyDescent="0.25">
      <c r="A192" s="2" t="s">
        <v>190</v>
      </c>
      <c r="B192" s="37">
        <v>4819</v>
      </c>
      <c r="C192" s="36">
        <v>4756</v>
      </c>
      <c r="D192" s="33">
        <v>2391</v>
      </c>
      <c r="E192" s="38">
        <v>866</v>
      </c>
      <c r="F192" s="39">
        <v>542</v>
      </c>
      <c r="G192">
        <v>2675</v>
      </c>
      <c r="H192" s="33">
        <v>2042</v>
      </c>
      <c r="I192" s="33">
        <v>2074</v>
      </c>
      <c r="J192" s="5">
        <v>546.31000000000006</v>
      </c>
      <c r="K192" s="40">
        <v>388200</v>
      </c>
      <c r="L192" s="45">
        <v>250.08333333299998</v>
      </c>
      <c r="M192" s="41">
        <v>9</v>
      </c>
      <c r="N192" s="32">
        <f>Rådatakommune[[#This Row],[B15-O]]/Rådatakommune[[#This Row],[Totalareal2015-O]]</f>
        <v>8.705679925317126</v>
      </c>
      <c r="O192" s="34">
        <f>Rådatakommune[[#This Row],[B15-O]]/Rådatakommune[[#This Row],[B05-O]]-1</f>
        <v>-1.3073251711973488E-2</v>
      </c>
      <c r="P192" s="34">
        <f>Rådatakommune[[#This Row],[Kvinner20-39-O]]/Rådatakommune[[#This Row],[B15-O]]</f>
        <v>0.11396131202691337</v>
      </c>
      <c r="Q192" s="34">
        <f>Rådatakommune[[#This Row],[Eldre67+-O]]/Rådatakommune[[#This Row],[B15-O]]</f>
        <v>0.18208578637510514</v>
      </c>
      <c r="R192" s="34">
        <f>Rådatakommune[[#This Row],[S14-O]]/Rådatakommune[[#This Row],[S04-O]]-1</f>
        <v>1.5670910871694366E-2</v>
      </c>
      <c r="S192" s="34">
        <f>Rådatakommune[[#This Row],[Y14-O]]/Rådatakommune[[#This Row],[Folk20-64-O]]</f>
        <v>0.89383177570093453</v>
      </c>
    </row>
    <row r="193" spans="1:19" x14ac:dyDescent="0.25">
      <c r="A193" s="2" t="s">
        <v>191</v>
      </c>
      <c r="B193" s="37">
        <v>2772</v>
      </c>
      <c r="C193" s="36">
        <v>3147</v>
      </c>
      <c r="D193" s="33">
        <v>1798</v>
      </c>
      <c r="E193" s="38">
        <v>459</v>
      </c>
      <c r="F193" s="39">
        <v>383</v>
      </c>
      <c r="G193">
        <v>1793</v>
      </c>
      <c r="H193" s="33">
        <v>1228</v>
      </c>
      <c r="I193" s="33">
        <v>1472</v>
      </c>
      <c r="J193" s="5">
        <v>104.41000000000001</v>
      </c>
      <c r="K193" s="40">
        <v>436000</v>
      </c>
      <c r="L193" s="45">
        <v>193.15</v>
      </c>
      <c r="M193" s="41">
        <v>2</v>
      </c>
      <c r="N193" s="32">
        <f>Rådatakommune[[#This Row],[B15-O]]/Rådatakommune[[#This Row],[Totalareal2015-O]]</f>
        <v>30.140791111962454</v>
      </c>
      <c r="O193" s="34">
        <f>Rådatakommune[[#This Row],[B15-O]]/Rådatakommune[[#This Row],[B05-O]]-1</f>
        <v>0.13528138528138522</v>
      </c>
      <c r="P193" s="34">
        <f>Rådatakommune[[#This Row],[Kvinner20-39-O]]/Rådatakommune[[#This Row],[B15-O]]</f>
        <v>0.12170320940578329</v>
      </c>
      <c r="Q193" s="34">
        <f>Rådatakommune[[#This Row],[Eldre67+-O]]/Rådatakommune[[#This Row],[B15-O]]</f>
        <v>0.14585319351763584</v>
      </c>
      <c r="R193" s="34">
        <f>Rådatakommune[[#This Row],[S14-O]]/Rådatakommune[[#This Row],[S04-O]]-1</f>
        <v>0.19869706840390888</v>
      </c>
      <c r="S193" s="34">
        <f>Rådatakommune[[#This Row],[Y14-O]]/Rådatakommune[[#This Row],[Folk20-64-O]]</f>
        <v>1.0027886224205242</v>
      </c>
    </row>
    <row r="194" spans="1:19" x14ac:dyDescent="0.25">
      <c r="A194" s="2" t="s">
        <v>192</v>
      </c>
      <c r="B194" s="37">
        <v>3350</v>
      </c>
      <c r="C194" s="36">
        <v>4794</v>
      </c>
      <c r="D194" s="33">
        <v>2628</v>
      </c>
      <c r="E194" s="38">
        <v>466</v>
      </c>
      <c r="F194" s="39">
        <v>622</v>
      </c>
      <c r="G194">
        <v>2805</v>
      </c>
      <c r="H194" s="33">
        <v>1021</v>
      </c>
      <c r="I194" s="33">
        <v>1163</v>
      </c>
      <c r="J194" s="5">
        <v>65.510000000000005</v>
      </c>
      <c r="K194" s="40">
        <v>487800</v>
      </c>
      <c r="L194" s="45">
        <v>180.8</v>
      </c>
      <c r="M194" s="41">
        <v>2</v>
      </c>
      <c r="N194" s="32">
        <f>Rådatakommune[[#This Row],[B15-O]]/Rådatakommune[[#This Row],[Totalareal2015-O]]</f>
        <v>73.179667226377646</v>
      </c>
      <c r="O194" s="34">
        <f>Rådatakommune[[#This Row],[B15-O]]/Rådatakommune[[#This Row],[B05-O]]-1</f>
        <v>0.43104477611940295</v>
      </c>
      <c r="P194" s="34">
        <f>Rådatakommune[[#This Row],[Kvinner20-39-O]]/Rådatakommune[[#This Row],[B15-O]]</f>
        <v>0.12974551522736755</v>
      </c>
      <c r="Q194" s="34">
        <f>Rådatakommune[[#This Row],[Eldre67+-O]]/Rådatakommune[[#This Row],[B15-O]]</f>
        <v>9.7204839382561539E-2</v>
      </c>
      <c r="R194" s="34">
        <f>Rådatakommune[[#This Row],[S14-O]]/Rådatakommune[[#This Row],[S04-O]]-1</f>
        <v>0.13907933398628791</v>
      </c>
      <c r="S194" s="34">
        <f>Rådatakommune[[#This Row],[Y14-O]]/Rådatakommune[[#This Row],[Folk20-64-O]]</f>
        <v>0.93689839572192513</v>
      </c>
    </row>
    <row r="195" spans="1:19" x14ac:dyDescent="0.25">
      <c r="A195" s="2" t="s">
        <v>193</v>
      </c>
      <c r="B195" s="37">
        <v>511</v>
      </c>
      <c r="C195" s="36">
        <v>534</v>
      </c>
      <c r="D195" s="33">
        <v>268</v>
      </c>
      <c r="E195" s="38">
        <v>104</v>
      </c>
      <c r="F195" s="39">
        <v>57</v>
      </c>
      <c r="G195">
        <v>285</v>
      </c>
      <c r="H195" s="33">
        <v>262</v>
      </c>
      <c r="I195" s="33">
        <v>292</v>
      </c>
      <c r="J195" s="5">
        <v>6.29</v>
      </c>
      <c r="K195" s="40">
        <v>395000</v>
      </c>
      <c r="L195" s="45">
        <v>224.55</v>
      </c>
      <c r="M195" s="41">
        <v>2</v>
      </c>
      <c r="N195" s="32">
        <f>Rådatakommune[[#This Row],[B15-O]]/Rådatakommune[[#This Row],[Totalareal2015-O]]</f>
        <v>84.896661367249607</v>
      </c>
      <c r="O195" s="34">
        <f>Rådatakommune[[#This Row],[B15-O]]/Rådatakommune[[#This Row],[B05-O]]-1</f>
        <v>4.5009784735812186E-2</v>
      </c>
      <c r="P195" s="34">
        <f>Rådatakommune[[#This Row],[Kvinner20-39-O]]/Rådatakommune[[#This Row],[B15-O]]</f>
        <v>0.10674157303370786</v>
      </c>
      <c r="Q195" s="34">
        <f>Rådatakommune[[#This Row],[Eldre67+-O]]/Rådatakommune[[#This Row],[B15-O]]</f>
        <v>0.19475655430711611</v>
      </c>
      <c r="R195" s="34">
        <f>Rådatakommune[[#This Row],[S14-O]]/Rådatakommune[[#This Row],[S04-O]]-1</f>
        <v>0.11450381679389321</v>
      </c>
      <c r="S195" s="34">
        <f>Rådatakommune[[#This Row],[Y14-O]]/Rådatakommune[[#This Row],[Folk20-64-O]]</f>
        <v>0.94035087719298249</v>
      </c>
    </row>
    <row r="196" spans="1:19" x14ac:dyDescent="0.25">
      <c r="A196" s="2" t="s">
        <v>194</v>
      </c>
      <c r="B196" s="37">
        <v>769</v>
      </c>
      <c r="C196" s="36">
        <v>865</v>
      </c>
      <c r="D196" s="33">
        <v>435</v>
      </c>
      <c r="E196" s="38">
        <v>150</v>
      </c>
      <c r="F196" s="39">
        <v>97</v>
      </c>
      <c r="G196">
        <v>473</v>
      </c>
      <c r="H196" s="33">
        <v>284</v>
      </c>
      <c r="I196" s="33">
        <v>327</v>
      </c>
      <c r="J196" s="5">
        <v>47.160000000000004</v>
      </c>
      <c r="K196" s="40">
        <v>394200</v>
      </c>
      <c r="L196" s="45">
        <v>177.36666666669998</v>
      </c>
      <c r="M196" s="41">
        <v>4</v>
      </c>
      <c r="N196" s="32">
        <f>Rådatakommune[[#This Row],[B15-O]]/Rådatakommune[[#This Row],[Totalareal2015-O]]</f>
        <v>18.341815097540287</v>
      </c>
      <c r="O196" s="34">
        <f>Rådatakommune[[#This Row],[B15-O]]/Rådatakommune[[#This Row],[B05-O]]-1</f>
        <v>0.12483745123537071</v>
      </c>
      <c r="P196" s="34">
        <f>Rådatakommune[[#This Row],[Kvinner20-39-O]]/Rådatakommune[[#This Row],[B15-O]]</f>
        <v>0.11213872832369942</v>
      </c>
      <c r="Q196" s="34">
        <f>Rådatakommune[[#This Row],[Eldre67+-O]]/Rådatakommune[[#This Row],[B15-O]]</f>
        <v>0.17341040462427745</v>
      </c>
      <c r="R196" s="34">
        <f>Rådatakommune[[#This Row],[S14-O]]/Rådatakommune[[#This Row],[S04-O]]-1</f>
        <v>0.15140845070422526</v>
      </c>
      <c r="S196" s="34">
        <f>Rådatakommune[[#This Row],[Y14-O]]/Rådatakommune[[#This Row],[Folk20-64-O]]</f>
        <v>0.91966173361522197</v>
      </c>
    </row>
    <row r="197" spans="1:19" x14ac:dyDescent="0.25">
      <c r="A197" s="2" t="s">
        <v>195</v>
      </c>
      <c r="B197" s="37">
        <v>9370</v>
      </c>
      <c r="C197" s="36">
        <v>10857</v>
      </c>
      <c r="D197" s="33">
        <v>5592</v>
      </c>
      <c r="E197" s="38">
        <v>1332</v>
      </c>
      <c r="F197" s="39">
        <v>1340</v>
      </c>
      <c r="G197">
        <v>5995</v>
      </c>
      <c r="H197" s="33">
        <v>3696</v>
      </c>
      <c r="I197" s="33">
        <v>4328</v>
      </c>
      <c r="J197" s="5">
        <v>425.40999999999997</v>
      </c>
      <c r="K197" s="40">
        <v>412400</v>
      </c>
      <c r="L197" s="45">
        <v>169.13333333330002</v>
      </c>
      <c r="M197" s="41">
        <v>4</v>
      </c>
      <c r="N197" s="32">
        <f>Rådatakommune[[#This Row],[B15-O]]/Rådatakommune[[#This Row],[Totalareal2015-O]]</f>
        <v>25.521261841517596</v>
      </c>
      <c r="O197" s="34">
        <f>Rådatakommune[[#This Row],[B15-O]]/Rådatakommune[[#This Row],[B05-O]]-1</f>
        <v>0.15869797225186777</v>
      </c>
      <c r="P197" s="34">
        <f>Rådatakommune[[#This Row],[Kvinner20-39-O]]/Rådatakommune[[#This Row],[B15-O]]</f>
        <v>0.12342267661416598</v>
      </c>
      <c r="Q197" s="34">
        <f>Rådatakommune[[#This Row],[Eldre67+-O]]/Rådatakommune[[#This Row],[B15-O]]</f>
        <v>0.12268582481348439</v>
      </c>
      <c r="R197" s="34">
        <f>Rådatakommune[[#This Row],[S14-O]]/Rådatakommune[[#This Row],[S04-O]]-1</f>
        <v>0.17099567099567103</v>
      </c>
      <c r="S197" s="34">
        <f>Rådatakommune[[#This Row],[Y14-O]]/Rådatakommune[[#This Row],[Folk20-64-O]]</f>
        <v>0.93277731442869061</v>
      </c>
    </row>
    <row r="198" spans="1:19" x14ac:dyDescent="0.25">
      <c r="A198" s="2" t="s">
        <v>196</v>
      </c>
      <c r="B198" s="37">
        <v>37567</v>
      </c>
      <c r="C198" s="36">
        <v>42062</v>
      </c>
      <c r="D198" s="33">
        <v>20713</v>
      </c>
      <c r="E198" s="38">
        <v>5508</v>
      </c>
      <c r="F198" s="39">
        <v>5278</v>
      </c>
      <c r="G198">
        <v>24185</v>
      </c>
      <c r="H198" s="33">
        <v>13615</v>
      </c>
      <c r="I198" s="33">
        <v>15458</v>
      </c>
      <c r="J198" s="5">
        <v>229.89999999999998</v>
      </c>
      <c r="K198" s="40">
        <v>401000</v>
      </c>
      <c r="L198" s="45">
        <v>160.85</v>
      </c>
      <c r="M198" s="41">
        <v>4</v>
      </c>
      <c r="N198" s="32">
        <f>Rådatakommune[[#This Row],[B15-O]]/Rådatakommune[[#This Row],[Totalareal2015-O]]</f>
        <v>182.95780774249675</v>
      </c>
      <c r="O198" s="34">
        <f>Rådatakommune[[#This Row],[B15-O]]/Rådatakommune[[#This Row],[B05-O]]-1</f>
        <v>0.11965288684217534</v>
      </c>
      <c r="P198" s="34">
        <f>Rådatakommune[[#This Row],[Kvinner20-39-O]]/Rådatakommune[[#This Row],[B15-O]]</f>
        <v>0.12548143217155627</v>
      </c>
      <c r="Q198" s="34">
        <f>Rådatakommune[[#This Row],[Eldre67+-O]]/Rådatakommune[[#This Row],[B15-O]]</f>
        <v>0.13094955066330655</v>
      </c>
      <c r="R198" s="34">
        <f>Rådatakommune[[#This Row],[S14-O]]/Rådatakommune[[#This Row],[S04-O]]-1</f>
        <v>0.13536540580242384</v>
      </c>
      <c r="S198" s="34">
        <f>Rådatakommune[[#This Row],[Y14-O]]/Rådatakommune[[#This Row],[Folk20-64-O]]</f>
        <v>0.85643994211287988</v>
      </c>
    </row>
    <row r="199" spans="1:19" x14ac:dyDescent="0.25">
      <c r="A199" s="2" t="s">
        <v>197</v>
      </c>
      <c r="B199" s="37">
        <v>213</v>
      </c>
      <c r="C199" s="36">
        <v>206</v>
      </c>
      <c r="D199" s="33">
        <v>117</v>
      </c>
      <c r="E199" s="38">
        <v>33</v>
      </c>
      <c r="F199" s="39">
        <v>27</v>
      </c>
      <c r="G199">
        <v>116</v>
      </c>
      <c r="H199" s="33">
        <v>93</v>
      </c>
      <c r="I199" s="33">
        <v>104</v>
      </c>
      <c r="J199" s="5">
        <v>6.33</v>
      </c>
      <c r="K199" s="40">
        <v>435100</v>
      </c>
      <c r="L199" s="45">
        <v>233.8</v>
      </c>
      <c r="M199" s="41">
        <v>11</v>
      </c>
      <c r="N199" s="32">
        <f>Rådatakommune[[#This Row],[B15-O]]/Rådatakommune[[#This Row],[Totalareal2015-O]]</f>
        <v>32.543443917851498</v>
      </c>
      <c r="O199" s="34">
        <f>Rådatakommune[[#This Row],[B15-O]]/Rådatakommune[[#This Row],[B05-O]]-1</f>
        <v>-3.2863849765258246E-2</v>
      </c>
      <c r="P199" s="34">
        <f>Rådatakommune[[#This Row],[Kvinner20-39-O]]/Rådatakommune[[#This Row],[B15-O]]</f>
        <v>0.13106796116504854</v>
      </c>
      <c r="Q199" s="34">
        <f>Rådatakommune[[#This Row],[Eldre67+-O]]/Rådatakommune[[#This Row],[B15-O]]</f>
        <v>0.16019417475728157</v>
      </c>
      <c r="R199" s="34">
        <f>Rådatakommune[[#This Row],[S14-O]]/Rådatakommune[[#This Row],[S04-O]]-1</f>
        <v>0.11827956989247301</v>
      </c>
      <c r="S199" s="34">
        <f>Rådatakommune[[#This Row],[Y14-O]]/Rådatakommune[[#This Row],[Folk20-64-O]]</f>
        <v>1.0086206896551724</v>
      </c>
    </row>
    <row r="200" spans="1:19" x14ac:dyDescent="0.25">
      <c r="A200" s="2" t="s">
        <v>198</v>
      </c>
      <c r="B200" s="37">
        <v>8120</v>
      </c>
      <c r="C200" s="36">
        <v>8765</v>
      </c>
      <c r="D200" s="33">
        <v>4721</v>
      </c>
      <c r="E200" s="38">
        <v>1273</v>
      </c>
      <c r="F200" s="39">
        <v>1014</v>
      </c>
      <c r="G200">
        <v>4948</v>
      </c>
      <c r="H200" s="42">
        <v>4046</v>
      </c>
      <c r="I200" s="33">
        <v>5038</v>
      </c>
      <c r="J200" s="5">
        <v>620.59</v>
      </c>
      <c r="K200" s="40">
        <v>402900</v>
      </c>
      <c r="L200" s="45">
        <v>199.4</v>
      </c>
      <c r="M200" s="41">
        <v>4</v>
      </c>
      <c r="N200" s="32">
        <f>Rådatakommune[[#This Row],[B15-O]]/Rådatakommune[[#This Row],[Totalareal2015-O]]</f>
        <v>14.123656520407998</v>
      </c>
      <c r="O200" s="34">
        <f>Rådatakommune[[#This Row],[B15-O]]/Rådatakommune[[#This Row],[B05-O]]-1</f>
        <v>7.943349753694573E-2</v>
      </c>
      <c r="P200" s="34">
        <f>Rådatakommune[[#This Row],[Kvinner20-39-O]]/Rådatakommune[[#This Row],[B15-O]]</f>
        <v>0.11568739304050199</v>
      </c>
      <c r="Q200" s="34">
        <f>Rådatakommune[[#This Row],[Eldre67+-O]]/Rådatakommune[[#This Row],[B15-O]]</f>
        <v>0.14523673702224757</v>
      </c>
      <c r="R200" s="34">
        <f>Rådatakommune[[#This Row],[S14-O]]/Rådatakommune[[#This Row],[S04-O]]-1</f>
        <v>0.24518042511122107</v>
      </c>
      <c r="S200" s="34">
        <f>Rådatakommune[[#This Row],[Y14-O]]/Rådatakommune[[#This Row],[Folk20-64-O]]</f>
        <v>0.95412287793047701</v>
      </c>
    </row>
    <row r="201" spans="1:19" x14ac:dyDescent="0.25">
      <c r="A201" s="2" t="s">
        <v>199</v>
      </c>
      <c r="B201" s="37">
        <v>239209</v>
      </c>
      <c r="C201" s="36">
        <v>275112</v>
      </c>
      <c r="D201" s="33">
        <v>147157</v>
      </c>
      <c r="E201" s="38">
        <v>35303</v>
      </c>
      <c r="F201" s="39">
        <v>41517</v>
      </c>
      <c r="G201">
        <v>171044</v>
      </c>
      <c r="H201" s="33">
        <v>136246</v>
      </c>
      <c r="I201" s="33">
        <v>166522</v>
      </c>
      <c r="J201" s="5">
        <v>464.70000000000005</v>
      </c>
      <c r="K201" s="40">
        <v>427800</v>
      </c>
      <c r="L201" s="45">
        <v>165.35</v>
      </c>
      <c r="M201" s="41">
        <v>1</v>
      </c>
      <c r="N201" s="32">
        <f>Rådatakommune[[#This Row],[B15-O]]/Rådatakommune[[#This Row],[Totalareal2015-O]]</f>
        <v>592.02065848934785</v>
      </c>
      <c r="O201" s="34">
        <f>Rådatakommune[[#This Row],[B15-O]]/Rådatakommune[[#This Row],[B05-O]]-1</f>
        <v>0.15009050662809509</v>
      </c>
      <c r="P201" s="34">
        <f>Rådatakommune[[#This Row],[Kvinner20-39-O]]/Rådatakommune[[#This Row],[B15-O]]</f>
        <v>0.15090944778853704</v>
      </c>
      <c r="Q201" s="34">
        <f>Rådatakommune[[#This Row],[Eldre67+-O]]/Rådatakommune[[#This Row],[B15-O]]</f>
        <v>0.12832228328826079</v>
      </c>
      <c r="R201" s="34">
        <f>Rådatakommune[[#This Row],[S14-O]]/Rådatakommune[[#This Row],[S04-O]]-1</f>
        <v>0.22221569807553987</v>
      </c>
      <c r="S201" s="34">
        <f>Rådatakommune[[#This Row],[Y14-O]]/Rådatakommune[[#This Row],[Folk20-64-O]]</f>
        <v>0.86034587591496925</v>
      </c>
    </row>
    <row r="202" spans="1:19" x14ac:dyDescent="0.25">
      <c r="A202" s="2" t="s">
        <v>200</v>
      </c>
      <c r="B202" s="37">
        <v>3904</v>
      </c>
      <c r="C202" s="36">
        <v>4103</v>
      </c>
      <c r="D202" s="33">
        <v>2197</v>
      </c>
      <c r="E202" s="38">
        <v>673</v>
      </c>
      <c r="F202" s="39">
        <v>458</v>
      </c>
      <c r="G202">
        <v>2298</v>
      </c>
      <c r="H202" s="33">
        <v>1531</v>
      </c>
      <c r="I202" s="33">
        <v>1703</v>
      </c>
      <c r="J202" s="5">
        <v>735.27</v>
      </c>
      <c r="K202" s="40">
        <v>385500</v>
      </c>
      <c r="L202" s="45">
        <v>209.65</v>
      </c>
      <c r="M202" s="41">
        <v>8</v>
      </c>
      <c r="N202" s="32">
        <f>Rådatakommune[[#This Row],[B15-O]]/Rådatakommune[[#This Row],[Totalareal2015-O]]</f>
        <v>5.58026303262747</v>
      </c>
      <c r="O202" s="34">
        <f>Rådatakommune[[#This Row],[B15-O]]/Rådatakommune[[#This Row],[B05-O]]-1</f>
        <v>5.0973360655737654E-2</v>
      </c>
      <c r="P202" s="34">
        <f>Rådatakommune[[#This Row],[Kvinner20-39-O]]/Rådatakommune[[#This Row],[B15-O]]</f>
        <v>0.11162563977577382</v>
      </c>
      <c r="Q202" s="34">
        <f>Rådatakommune[[#This Row],[Eldre67+-O]]/Rådatakommune[[#This Row],[B15-O]]</f>
        <v>0.16402632220326591</v>
      </c>
      <c r="R202" s="34">
        <f>Rådatakommune[[#This Row],[S14-O]]/Rådatakommune[[#This Row],[S04-O]]-1</f>
        <v>0.11234487263226645</v>
      </c>
      <c r="S202" s="34">
        <f>Rådatakommune[[#This Row],[Y14-O]]/Rådatakommune[[#This Row],[Folk20-64-O]]</f>
        <v>0.95604873803307222</v>
      </c>
    </row>
    <row r="203" spans="1:19" x14ac:dyDescent="0.25">
      <c r="A203" s="2" t="s">
        <v>201</v>
      </c>
      <c r="B203" s="37">
        <v>4672</v>
      </c>
      <c r="C203" s="36">
        <v>5509</v>
      </c>
      <c r="D203" s="33">
        <v>2769</v>
      </c>
      <c r="E203" s="38">
        <v>670</v>
      </c>
      <c r="F203" s="39">
        <v>674</v>
      </c>
      <c r="G203">
        <v>3126</v>
      </c>
      <c r="H203" s="33">
        <v>1093</v>
      </c>
      <c r="I203" s="33">
        <v>1438</v>
      </c>
      <c r="J203" s="5">
        <v>246.14</v>
      </c>
      <c r="K203" s="40">
        <v>398200</v>
      </c>
      <c r="L203" s="45">
        <v>179.46666666670001</v>
      </c>
      <c r="M203" s="41">
        <v>4</v>
      </c>
      <c r="N203" s="32">
        <f>Rådatakommune[[#This Row],[B15-O]]/Rådatakommune[[#This Row],[Totalareal2015-O]]</f>
        <v>22.381571463394817</v>
      </c>
      <c r="O203" s="34">
        <f>Rådatakommune[[#This Row],[B15-O]]/Rådatakommune[[#This Row],[B05-O]]-1</f>
        <v>0.17915239726027399</v>
      </c>
      <c r="P203" s="34">
        <f>Rådatakommune[[#This Row],[Kvinner20-39-O]]/Rådatakommune[[#This Row],[B15-O]]</f>
        <v>0.12234525322200036</v>
      </c>
      <c r="Q203" s="34">
        <f>Rådatakommune[[#This Row],[Eldre67+-O]]/Rådatakommune[[#This Row],[B15-O]]</f>
        <v>0.12161916863314576</v>
      </c>
      <c r="R203" s="34">
        <f>Rådatakommune[[#This Row],[S14-O]]/Rådatakommune[[#This Row],[S04-O]]-1</f>
        <v>0.31564501372369635</v>
      </c>
      <c r="S203" s="34">
        <f>Rådatakommune[[#This Row],[Y14-O]]/Rådatakommune[[#This Row],[Folk20-64-O]]</f>
        <v>0.88579654510556627</v>
      </c>
    </row>
    <row r="204" spans="1:19" x14ac:dyDescent="0.25">
      <c r="A204" s="2" t="s">
        <v>202</v>
      </c>
      <c r="B204" s="37">
        <v>10830</v>
      </c>
      <c r="C204" s="36">
        <v>11761</v>
      </c>
      <c r="D204" s="33">
        <v>5934</v>
      </c>
      <c r="E204" s="38">
        <v>1561</v>
      </c>
      <c r="F204" s="39">
        <v>1378</v>
      </c>
      <c r="G204">
        <v>6537</v>
      </c>
      <c r="H204" s="33">
        <v>4245</v>
      </c>
      <c r="I204" s="33">
        <v>4891</v>
      </c>
      <c r="J204" s="5">
        <v>246.56</v>
      </c>
      <c r="K204" s="40">
        <v>411700</v>
      </c>
      <c r="L204" s="45">
        <v>189.48333333329998</v>
      </c>
      <c r="M204" s="41">
        <v>6</v>
      </c>
      <c r="N204" s="32">
        <f>Rådatakommune[[#This Row],[B15-O]]/Rådatakommune[[#This Row],[Totalareal2015-O]]</f>
        <v>47.700356911096691</v>
      </c>
      <c r="O204" s="34">
        <f>Rådatakommune[[#This Row],[B15-O]]/Rådatakommune[[#This Row],[B05-O]]-1</f>
        <v>8.59649122807018E-2</v>
      </c>
      <c r="P204" s="34">
        <f>Rådatakommune[[#This Row],[Kvinner20-39-O]]/Rådatakommune[[#This Row],[B15-O]]</f>
        <v>0.11716690757588641</v>
      </c>
      <c r="Q204" s="34">
        <f>Rådatakommune[[#This Row],[Eldre67+-O]]/Rådatakommune[[#This Row],[B15-O]]</f>
        <v>0.13272680894481761</v>
      </c>
      <c r="R204" s="34">
        <f>Rådatakommune[[#This Row],[S14-O]]/Rådatakommune[[#This Row],[S04-O]]-1</f>
        <v>0.15217903415783285</v>
      </c>
      <c r="S204" s="34">
        <f>Rådatakommune[[#This Row],[Y14-O]]/Rådatakommune[[#This Row],[Folk20-64-O]]</f>
        <v>0.90775585130793945</v>
      </c>
    </row>
    <row r="205" spans="1:19" x14ac:dyDescent="0.25">
      <c r="A205" s="2" t="s">
        <v>203</v>
      </c>
      <c r="B205" s="37">
        <v>16516</v>
      </c>
      <c r="C205" s="36">
        <v>18685</v>
      </c>
      <c r="D205" s="33">
        <v>9685</v>
      </c>
      <c r="E205" s="38">
        <v>2358</v>
      </c>
      <c r="F205" s="39">
        <v>2338</v>
      </c>
      <c r="G205">
        <v>10788</v>
      </c>
      <c r="H205" s="33">
        <v>8759</v>
      </c>
      <c r="I205" s="33">
        <v>9938</v>
      </c>
      <c r="J205" s="5">
        <v>143.69999999999999</v>
      </c>
      <c r="K205" s="40">
        <v>405900</v>
      </c>
      <c r="L205" s="45">
        <v>172.3333333333</v>
      </c>
      <c r="M205" s="41">
        <v>6</v>
      </c>
      <c r="N205" s="32">
        <f>Rådatakommune[[#This Row],[B15-O]]/Rådatakommune[[#This Row],[Totalareal2015-O]]</f>
        <v>130.02783576896312</v>
      </c>
      <c r="O205" s="34">
        <f>Rådatakommune[[#This Row],[B15-O]]/Rådatakommune[[#This Row],[B05-O]]-1</f>
        <v>0.13132719786873337</v>
      </c>
      <c r="P205" s="34">
        <f>Rådatakommune[[#This Row],[Kvinner20-39-O]]/Rådatakommune[[#This Row],[B15-O]]</f>
        <v>0.12512710730532511</v>
      </c>
      <c r="Q205" s="34">
        <f>Rådatakommune[[#This Row],[Eldre67+-O]]/Rådatakommune[[#This Row],[B15-O]]</f>
        <v>0.12619748461332619</v>
      </c>
      <c r="R205" s="34">
        <f>Rådatakommune[[#This Row],[S14-O]]/Rådatakommune[[#This Row],[S04-O]]-1</f>
        <v>0.13460440689576436</v>
      </c>
      <c r="S205" s="34">
        <f>Rådatakommune[[#This Row],[Y14-O]]/Rådatakommune[[#This Row],[Folk20-64-O]]</f>
        <v>0.89775676677790139</v>
      </c>
    </row>
    <row r="206" spans="1:19" x14ac:dyDescent="0.25">
      <c r="A206" s="2" t="s">
        <v>204</v>
      </c>
      <c r="B206" s="37">
        <v>2895</v>
      </c>
      <c r="C206" s="36">
        <v>3093</v>
      </c>
      <c r="D206" s="33">
        <v>1625</v>
      </c>
      <c r="E206" s="38">
        <v>403</v>
      </c>
      <c r="F206" s="39">
        <v>351</v>
      </c>
      <c r="G206">
        <v>1767</v>
      </c>
      <c r="H206" s="33">
        <v>1131</v>
      </c>
      <c r="I206" s="33">
        <v>1254</v>
      </c>
      <c r="J206" s="5">
        <v>142.42999999999998</v>
      </c>
      <c r="K206" s="40">
        <v>404300</v>
      </c>
      <c r="L206" s="45">
        <v>176.25</v>
      </c>
      <c r="M206" s="41">
        <v>6</v>
      </c>
      <c r="N206" s="32">
        <f>Rådatakommune[[#This Row],[B15-O]]/Rådatakommune[[#This Row],[Totalareal2015-O]]</f>
        <v>21.715930632591451</v>
      </c>
      <c r="O206" s="34">
        <f>Rådatakommune[[#This Row],[B15-O]]/Rådatakommune[[#This Row],[B05-O]]-1</f>
        <v>6.8393782383419754E-2</v>
      </c>
      <c r="P206" s="34">
        <f>Rådatakommune[[#This Row],[Kvinner20-39-O]]/Rådatakommune[[#This Row],[B15-O]]</f>
        <v>0.11348205625606207</v>
      </c>
      <c r="Q206" s="34">
        <f>Rådatakommune[[#This Row],[Eldre67+-O]]/Rådatakommune[[#This Row],[B15-O]]</f>
        <v>0.13029421273844163</v>
      </c>
      <c r="R206" s="34">
        <f>Rådatakommune[[#This Row],[S14-O]]/Rådatakommune[[#This Row],[S04-O]]-1</f>
        <v>0.10875331564986745</v>
      </c>
      <c r="S206" s="34">
        <f>Rådatakommune[[#This Row],[Y14-O]]/Rådatakommune[[#This Row],[Folk20-64-O]]</f>
        <v>0.9196378041878891</v>
      </c>
    </row>
    <row r="207" spans="1:19" x14ac:dyDescent="0.25">
      <c r="A207" s="2" t="s">
        <v>205</v>
      </c>
      <c r="B207" s="37">
        <v>2825</v>
      </c>
      <c r="C207" s="36">
        <v>2782</v>
      </c>
      <c r="D207" s="33">
        <v>1349</v>
      </c>
      <c r="E207" s="38">
        <v>573</v>
      </c>
      <c r="F207" s="39">
        <v>278</v>
      </c>
      <c r="G207">
        <v>1476</v>
      </c>
      <c r="H207" s="33">
        <v>983</v>
      </c>
      <c r="I207" s="33">
        <v>1099</v>
      </c>
      <c r="J207" s="5">
        <v>255.10999999999999</v>
      </c>
      <c r="K207" s="40">
        <v>381300</v>
      </c>
      <c r="L207" s="45">
        <v>204.6666666667</v>
      </c>
      <c r="M207" s="41">
        <v>6</v>
      </c>
      <c r="N207" s="32">
        <f>Rådatakommune[[#This Row],[B15-O]]/Rådatakommune[[#This Row],[Totalareal2015-O]]</f>
        <v>10.905099760887461</v>
      </c>
      <c r="O207" s="34">
        <f>Rådatakommune[[#This Row],[B15-O]]/Rådatakommune[[#This Row],[B05-O]]-1</f>
        <v>-1.522123893805305E-2</v>
      </c>
      <c r="P207" s="34">
        <f>Rådatakommune[[#This Row],[Kvinner20-39-O]]/Rådatakommune[[#This Row],[B15-O]]</f>
        <v>9.9928109273903665E-2</v>
      </c>
      <c r="Q207" s="34">
        <f>Rådatakommune[[#This Row],[Eldre67+-O]]/Rådatakommune[[#This Row],[B15-O]]</f>
        <v>0.20596693026599569</v>
      </c>
      <c r="R207" s="34">
        <f>Rådatakommune[[#This Row],[S14-O]]/Rådatakommune[[#This Row],[S04-O]]-1</f>
        <v>0.1180061037639879</v>
      </c>
      <c r="S207" s="34">
        <f>Rådatakommune[[#This Row],[Y14-O]]/Rådatakommune[[#This Row],[Folk20-64-O]]</f>
        <v>0.91395663956639561</v>
      </c>
    </row>
    <row r="208" spans="1:19" x14ac:dyDescent="0.25">
      <c r="A208" s="2" t="s">
        <v>206</v>
      </c>
      <c r="B208" s="37">
        <v>13122</v>
      </c>
      <c r="C208" s="36">
        <v>13234</v>
      </c>
      <c r="D208" s="33">
        <v>6492</v>
      </c>
      <c r="E208" s="38">
        <v>2274</v>
      </c>
      <c r="F208" s="39">
        <v>1359</v>
      </c>
      <c r="G208">
        <v>7159</v>
      </c>
      <c r="H208" s="33">
        <v>5480</v>
      </c>
      <c r="I208" s="33">
        <v>5793</v>
      </c>
      <c r="J208" s="5">
        <v>1090.73</v>
      </c>
      <c r="K208" s="40">
        <v>383000</v>
      </c>
      <c r="L208" s="45">
        <v>264.95</v>
      </c>
      <c r="M208" s="41">
        <v>8</v>
      </c>
      <c r="N208" s="32">
        <f>Rådatakommune[[#This Row],[B15-O]]/Rådatakommune[[#This Row],[Totalareal2015-O]]</f>
        <v>12.133158526858159</v>
      </c>
      <c r="O208" s="34">
        <f>Rådatakommune[[#This Row],[B15-O]]/Rådatakommune[[#This Row],[B05-O]]-1</f>
        <v>8.5352842554489161E-3</v>
      </c>
      <c r="P208" s="34">
        <f>Rådatakommune[[#This Row],[Kvinner20-39-O]]/Rådatakommune[[#This Row],[B15-O]]</f>
        <v>0.10269004080398972</v>
      </c>
      <c r="Q208" s="34">
        <f>Rådatakommune[[#This Row],[Eldre67+-O]]/Rådatakommune[[#This Row],[B15-O]]</f>
        <v>0.17183013450204021</v>
      </c>
      <c r="R208" s="34">
        <f>Rådatakommune[[#This Row],[S14-O]]/Rådatakommune[[#This Row],[S04-O]]-1</f>
        <v>5.7116788321167844E-2</v>
      </c>
      <c r="S208" s="34">
        <f>Rådatakommune[[#This Row],[Y14-O]]/Rådatakommune[[#This Row],[Folk20-64-O]]</f>
        <v>0.90683056292778319</v>
      </c>
    </row>
    <row r="209" spans="1:19" x14ac:dyDescent="0.25">
      <c r="A209" s="2" t="s">
        <v>207</v>
      </c>
      <c r="B209" s="37">
        <v>1078</v>
      </c>
      <c r="C209" s="36">
        <v>1100</v>
      </c>
      <c r="D209" s="33">
        <v>530</v>
      </c>
      <c r="E209" s="38">
        <v>232</v>
      </c>
      <c r="F209" s="39">
        <v>120</v>
      </c>
      <c r="G209">
        <v>583</v>
      </c>
      <c r="H209" s="33">
        <v>469</v>
      </c>
      <c r="I209" s="33">
        <v>392</v>
      </c>
      <c r="J209" s="5">
        <v>247.07</v>
      </c>
      <c r="K209" s="40">
        <v>356800</v>
      </c>
      <c r="L209" s="45">
        <v>247.6666666667</v>
      </c>
      <c r="M209" s="41">
        <v>9</v>
      </c>
      <c r="N209" s="32">
        <f>Rådatakommune[[#This Row],[B15-O]]/Rådatakommune[[#This Row],[Totalareal2015-O]]</f>
        <v>4.452179544258712</v>
      </c>
      <c r="O209" s="34">
        <f>Rådatakommune[[#This Row],[B15-O]]/Rådatakommune[[#This Row],[B05-O]]-1</f>
        <v>2.0408163265306145E-2</v>
      </c>
      <c r="P209" s="34">
        <f>Rådatakommune[[#This Row],[Kvinner20-39-O]]/Rådatakommune[[#This Row],[B15-O]]</f>
        <v>0.10909090909090909</v>
      </c>
      <c r="Q209" s="34">
        <f>Rådatakommune[[#This Row],[Eldre67+-O]]/Rådatakommune[[#This Row],[B15-O]]</f>
        <v>0.21090909090909091</v>
      </c>
      <c r="R209" s="34">
        <f>Rådatakommune[[#This Row],[S14-O]]/Rådatakommune[[#This Row],[S04-O]]-1</f>
        <v>-0.16417910447761197</v>
      </c>
      <c r="S209" s="34">
        <f>Rådatakommune[[#This Row],[Y14-O]]/Rådatakommune[[#This Row],[Folk20-64-O]]</f>
        <v>0.90909090909090906</v>
      </c>
    </row>
    <row r="210" spans="1:19" x14ac:dyDescent="0.25">
      <c r="A210" s="2" t="s">
        <v>208</v>
      </c>
      <c r="B210" s="37">
        <v>7378</v>
      </c>
      <c r="C210" s="36">
        <v>6952</v>
      </c>
      <c r="D210" s="33">
        <v>3450</v>
      </c>
      <c r="E210" s="38">
        <v>1364</v>
      </c>
      <c r="F210" s="39">
        <v>749</v>
      </c>
      <c r="G210">
        <v>3927</v>
      </c>
      <c r="H210" s="33">
        <v>3612</v>
      </c>
      <c r="I210" s="33">
        <v>3538</v>
      </c>
      <c r="J210" s="5">
        <v>1615.89</v>
      </c>
      <c r="K210" s="40">
        <v>368700</v>
      </c>
      <c r="L210" s="45">
        <v>266.14999999999998</v>
      </c>
      <c r="M210" s="41">
        <v>7</v>
      </c>
      <c r="N210" s="32">
        <f>Rådatakommune[[#This Row],[B15-O]]/Rådatakommune[[#This Row],[Totalareal2015-O]]</f>
        <v>4.3022730507645939</v>
      </c>
      <c r="O210" s="34">
        <f>Rådatakommune[[#This Row],[B15-O]]/Rådatakommune[[#This Row],[B05-O]]-1</f>
        <v>-5.7739224722146876E-2</v>
      </c>
      <c r="P210" s="34">
        <f>Rådatakommune[[#This Row],[Kvinner20-39-O]]/Rådatakommune[[#This Row],[B15-O]]</f>
        <v>0.10773878020713464</v>
      </c>
      <c r="Q210" s="34">
        <f>Rådatakommune[[#This Row],[Eldre67+-O]]/Rådatakommune[[#This Row],[B15-O]]</f>
        <v>0.19620253164556961</v>
      </c>
      <c r="R210" s="34">
        <f>Rådatakommune[[#This Row],[S14-O]]/Rådatakommune[[#This Row],[S04-O]]-1</f>
        <v>-2.048726467331119E-2</v>
      </c>
      <c r="S210" s="34">
        <f>Rådatakommune[[#This Row],[Y14-O]]/Rådatakommune[[#This Row],[Folk20-64-O]]</f>
        <v>0.87853323147440798</v>
      </c>
    </row>
    <row r="211" spans="1:19" x14ac:dyDescent="0.25">
      <c r="A211" s="2" t="s">
        <v>209</v>
      </c>
      <c r="B211" s="37">
        <v>3517</v>
      </c>
      <c r="C211" s="36">
        <v>3411</v>
      </c>
      <c r="D211" s="33">
        <v>1767</v>
      </c>
      <c r="E211" s="38">
        <v>694</v>
      </c>
      <c r="F211" s="39">
        <v>346</v>
      </c>
      <c r="G211">
        <v>1817</v>
      </c>
      <c r="H211" s="33">
        <v>1310</v>
      </c>
      <c r="I211" s="33">
        <v>1298</v>
      </c>
      <c r="J211" s="5">
        <v>1398.5200000000002</v>
      </c>
      <c r="K211" s="40">
        <v>364100</v>
      </c>
      <c r="L211" s="45">
        <v>265.91666666700002</v>
      </c>
      <c r="M211" s="41">
        <v>7</v>
      </c>
      <c r="N211" s="32">
        <f>Rådatakommune[[#This Row],[B15-O]]/Rådatakommune[[#This Row],[Totalareal2015-O]]</f>
        <v>2.4390069502045018</v>
      </c>
      <c r="O211" s="34">
        <f>Rådatakommune[[#This Row],[B15-O]]/Rådatakommune[[#This Row],[B05-O]]-1</f>
        <v>-3.0139323286892283E-2</v>
      </c>
      <c r="P211" s="34">
        <f>Rådatakommune[[#This Row],[Kvinner20-39-O]]/Rådatakommune[[#This Row],[B15-O]]</f>
        <v>0.10143652887716212</v>
      </c>
      <c r="Q211" s="34">
        <f>Rådatakommune[[#This Row],[Eldre67+-O]]/Rådatakommune[[#This Row],[B15-O]]</f>
        <v>0.20345939607153327</v>
      </c>
      <c r="R211" s="34">
        <f>Rådatakommune[[#This Row],[S14-O]]/Rådatakommune[[#This Row],[S04-O]]-1</f>
        <v>-9.1603053435114212E-3</v>
      </c>
      <c r="S211" s="34">
        <f>Rådatakommune[[#This Row],[Y14-O]]/Rådatakommune[[#This Row],[Folk20-64-O]]</f>
        <v>0.97248211337369295</v>
      </c>
    </row>
    <row r="212" spans="1:19" x14ac:dyDescent="0.25">
      <c r="A212" s="2" t="s">
        <v>210</v>
      </c>
      <c r="B212" s="37">
        <v>914</v>
      </c>
      <c r="C212" s="36">
        <v>950</v>
      </c>
      <c r="D212" s="33">
        <v>548</v>
      </c>
      <c r="E212" s="38">
        <v>174</v>
      </c>
      <c r="F212" s="39">
        <v>106</v>
      </c>
      <c r="G212">
        <v>561</v>
      </c>
      <c r="H212" s="33">
        <v>406</v>
      </c>
      <c r="I212" s="33">
        <v>437</v>
      </c>
      <c r="J212" s="5">
        <v>1491.47</v>
      </c>
      <c r="K212" s="40">
        <v>396900</v>
      </c>
      <c r="L212" s="45">
        <v>242.81666666699999</v>
      </c>
      <c r="M212" s="41">
        <v>9</v>
      </c>
      <c r="N212" s="32">
        <f>Rådatakommune[[#This Row],[B15-O]]/Rådatakommune[[#This Row],[Totalareal2015-O]]</f>
        <v>0.63695548686865977</v>
      </c>
      <c r="O212" s="34">
        <f>Rådatakommune[[#This Row],[B15-O]]/Rådatakommune[[#This Row],[B05-O]]-1</f>
        <v>3.938730853391692E-2</v>
      </c>
      <c r="P212" s="34">
        <f>Rådatakommune[[#This Row],[Kvinner20-39-O]]/Rådatakommune[[#This Row],[B15-O]]</f>
        <v>0.11157894736842106</v>
      </c>
      <c r="Q212" s="34">
        <f>Rådatakommune[[#This Row],[Eldre67+-O]]/Rådatakommune[[#This Row],[B15-O]]</f>
        <v>0.1831578947368421</v>
      </c>
      <c r="R212" s="34">
        <f>Rådatakommune[[#This Row],[S14-O]]/Rådatakommune[[#This Row],[S04-O]]-1</f>
        <v>7.6354679802955738E-2</v>
      </c>
      <c r="S212" s="34">
        <f>Rådatakommune[[#This Row],[Y14-O]]/Rådatakommune[[#This Row],[Folk20-64-O]]</f>
        <v>0.97682709447415328</v>
      </c>
    </row>
    <row r="213" spans="1:19" x14ac:dyDescent="0.25">
      <c r="A213" s="2" t="s">
        <v>211</v>
      </c>
      <c r="B213" s="37">
        <v>1163</v>
      </c>
      <c r="C213" s="36">
        <v>1107</v>
      </c>
      <c r="D213" s="33">
        <v>560</v>
      </c>
      <c r="E213" s="38">
        <v>240</v>
      </c>
      <c r="F213" s="39">
        <v>114</v>
      </c>
      <c r="G213">
        <v>599</v>
      </c>
      <c r="H213" s="33">
        <v>561</v>
      </c>
      <c r="I213" s="33">
        <v>457</v>
      </c>
      <c r="J213" s="5">
        <v>720.83</v>
      </c>
      <c r="K213" s="40">
        <v>351600</v>
      </c>
      <c r="L213" s="45">
        <v>267.51666666699998</v>
      </c>
      <c r="M213" s="41">
        <v>6</v>
      </c>
      <c r="N213" s="32">
        <f>Rådatakommune[[#This Row],[B15-O]]/Rådatakommune[[#This Row],[Totalareal2015-O]]</f>
        <v>1.5357296449925779</v>
      </c>
      <c r="O213" s="34">
        <f>Rådatakommune[[#This Row],[B15-O]]/Rådatakommune[[#This Row],[B05-O]]-1</f>
        <v>-4.8151332760103194E-2</v>
      </c>
      <c r="P213" s="34">
        <f>Rådatakommune[[#This Row],[Kvinner20-39-O]]/Rådatakommune[[#This Row],[B15-O]]</f>
        <v>0.10298102981029811</v>
      </c>
      <c r="Q213" s="34">
        <f>Rådatakommune[[#This Row],[Eldre67+-O]]/Rådatakommune[[#This Row],[B15-O]]</f>
        <v>0.21680216802168023</v>
      </c>
      <c r="R213" s="34">
        <f>Rådatakommune[[#This Row],[S14-O]]/Rådatakommune[[#This Row],[S04-O]]-1</f>
        <v>-0.18538324420677366</v>
      </c>
      <c r="S213" s="34">
        <f>Rådatakommune[[#This Row],[Y14-O]]/Rådatakommune[[#This Row],[Folk20-64-O]]</f>
        <v>0.93489148580968284</v>
      </c>
    </row>
    <row r="214" spans="1:19" x14ac:dyDescent="0.25">
      <c r="A214" s="2" t="s">
        <v>212</v>
      </c>
      <c r="B214" s="37">
        <v>1008</v>
      </c>
      <c r="C214" s="36">
        <v>921</v>
      </c>
      <c r="D214" s="33">
        <v>491</v>
      </c>
      <c r="E214" s="38">
        <v>179</v>
      </c>
      <c r="F214" s="39">
        <v>107</v>
      </c>
      <c r="G214">
        <v>528</v>
      </c>
      <c r="H214" s="33">
        <v>423</v>
      </c>
      <c r="I214" s="33">
        <v>304</v>
      </c>
      <c r="J214" s="5">
        <v>212.46</v>
      </c>
      <c r="K214" s="40">
        <v>356700</v>
      </c>
      <c r="L214" s="45">
        <v>255.3</v>
      </c>
      <c r="M214" s="41">
        <v>6</v>
      </c>
      <c r="N214" s="32">
        <f>Rådatakommune[[#This Row],[B15-O]]/Rådatakommune[[#This Row],[Totalareal2015-O]]</f>
        <v>4.3349336345665064</v>
      </c>
      <c r="O214" s="34">
        <f>Rådatakommune[[#This Row],[B15-O]]/Rådatakommune[[#This Row],[B05-O]]-1</f>
        <v>-8.6309523809523836E-2</v>
      </c>
      <c r="P214" s="34">
        <f>Rådatakommune[[#This Row],[Kvinner20-39-O]]/Rådatakommune[[#This Row],[B15-O]]</f>
        <v>0.11617806731813246</v>
      </c>
      <c r="Q214" s="34">
        <f>Rådatakommune[[#This Row],[Eldre67+-O]]/Rådatakommune[[#This Row],[B15-O]]</f>
        <v>0.19435396308360478</v>
      </c>
      <c r="R214" s="34">
        <f>Rådatakommune[[#This Row],[S14-O]]/Rådatakommune[[#This Row],[S04-O]]-1</f>
        <v>-0.28132387706855788</v>
      </c>
      <c r="S214" s="34">
        <f>Rådatakommune[[#This Row],[Y14-O]]/Rådatakommune[[#This Row],[Folk20-64-O]]</f>
        <v>0.92992424242424243</v>
      </c>
    </row>
    <row r="215" spans="1:19" x14ac:dyDescent="0.25">
      <c r="A215" s="2" t="s">
        <v>213</v>
      </c>
      <c r="B215" s="37">
        <v>13850</v>
      </c>
      <c r="C215" s="36">
        <v>14347</v>
      </c>
      <c r="D215" s="33">
        <v>7482</v>
      </c>
      <c r="E215" s="38">
        <v>2571</v>
      </c>
      <c r="F215" s="39">
        <v>1597</v>
      </c>
      <c r="G215">
        <v>7937</v>
      </c>
      <c r="H215" s="33">
        <v>6319</v>
      </c>
      <c r="I215" s="33">
        <v>7169</v>
      </c>
      <c r="J215" s="5">
        <v>1805.81</v>
      </c>
      <c r="K215" s="40">
        <v>374200</v>
      </c>
      <c r="L215" s="45">
        <v>236.15</v>
      </c>
      <c r="M215" s="41">
        <v>6</v>
      </c>
      <c r="N215" s="32">
        <f>Rådatakommune[[#This Row],[B15-O]]/Rådatakommune[[#This Row],[Totalareal2015-O]]</f>
        <v>7.944911147905926</v>
      </c>
      <c r="O215" s="34">
        <f>Rådatakommune[[#This Row],[B15-O]]/Rådatakommune[[#This Row],[B05-O]]-1</f>
        <v>3.588447653429605E-2</v>
      </c>
      <c r="P215" s="34">
        <f>Rådatakommune[[#This Row],[Kvinner20-39-O]]/Rådatakommune[[#This Row],[B15-O]]</f>
        <v>0.11131246950582004</v>
      </c>
      <c r="Q215" s="34">
        <f>Rådatakommune[[#This Row],[Eldre67+-O]]/Rådatakommune[[#This Row],[B15-O]]</f>
        <v>0.17920122673729699</v>
      </c>
      <c r="R215" s="34">
        <f>Rådatakommune[[#This Row],[S14-O]]/Rådatakommune[[#This Row],[S04-O]]-1</f>
        <v>0.13451495489792697</v>
      </c>
      <c r="S215" s="34">
        <f>Rådatakommune[[#This Row],[Y14-O]]/Rådatakommune[[#This Row],[Folk20-64-O]]</f>
        <v>0.94267355423963717</v>
      </c>
    </row>
    <row r="216" spans="1:19" x14ac:dyDescent="0.25">
      <c r="A216" s="2" t="s">
        <v>214</v>
      </c>
      <c r="B216" s="37">
        <v>8334</v>
      </c>
      <c r="C216" s="36">
        <v>8539</v>
      </c>
      <c r="D216" s="33">
        <v>4342</v>
      </c>
      <c r="E216" s="38">
        <v>1569</v>
      </c>
      <c r="F216" s="39">
        <v>901</v>
      </c>
      <c r="G216">
        <v>4691</v>
      </c>
      <c r="H216" s="33">
        <v>3894</v>
      </c>
      <c r="I216" s="33">
        <v>3897</v>
      </c>
      <c r="J216" s="5">
        <v>616.47</v>
      </c>
      <c r="K216" s="40">
        <v>375300</v>
      </c>
      <c r="L216" s="45">
        <v>215.61666666669998</v>
      </c>
      <c r="M216" s="41">
        <v>5</v>
      </c>
      <c r="N216" s="32">
        <f>Rådatakommune[[#This Row],[B15-O]]/Rådatakommune[[#This Row],[Totalareal2015-O]]</f>
        <v>13.851444514737132</v>
      </c>
      <c r="O216" s="34">
        <f>Rådatakommune[[#This Row],[B15-O]]/Rådatakommune[[#This Row],[B05-O]]-1</f>
        <v>2.4598032157427507E-2</v>
      </c>
      <c r="P216" s="34">
        <f>Rådatakommune[[#This Row],[Kvinner20-39-O]]/Rådatakommune[[#This Row],[B15-O]]</f>
        <v>0.10551586836866143</v>
      </c>
      <c r="Q216" s="34">
        <f>Rådatakommune[[#This Row],[Eldre67+-O]]/Rådatakommune[[#This Row],[B15-O]]</f>
        <v>0.18374516922356249</v>
      </c>
      <c r="R216" s="34">
        <f>Rådatakommune[[#This Row],[S14-O]]/Rådatakommune[[#This Row],[S04-O]]-1</f>
        <v>7.7041602465333092E-4</v>
      </c>
      <c r="S216" s="34">
        <f>Rådatakommune[[#This Row],[Y14-O]]/Rådatakommune[[#This Row],[Folk20-64-O]]</f>
        <v>0.92560221701129819</v>
      </c>
    </row>
    <row r="217" spans="1:19" x14ac:dyDescent="0.25">
      <c r="A217" s="2" t="s">
        <v>215</v>
      </c>
      <c r="B217" s="37">
        <v>3709</v>
      </c>
      <c r="C217" s="36">
        <v>3838</v>
      </c>
      <c r="D217" s="33">
        <v>1987</v>
      </c>
      <c r="E217" s="38">
        <v>660</v>
      </c>
      <c r="F217" s="39">
        <v>366</v>
      </c>
      <c r="G217">
        <v>2059</v>
      </c>
      <c r="H217" s="33">
        <v>1733</v>
      </c>
      <c r="I217" s="33">
        <v>1945</v>
      </c>
      <c r="J217" s="5">
        <v>377.83</v>
      </c>
      <c r="K217" s="40">
        <v>399800</v>
      </c>
      <c r="L217" s="45">
        <v>208.1666666667</v>
      </c>
      <c r="M217" s="41">
        <v>1</v>
      </c>
      <c r="N217" s="32">
        <f>Rådatakommune[[#This Row],[B15-O]]/Rådatakommune[[#This Row],[Totalareal2015-O]]</f>
        <v>10.158007569541859</v>
      </c>
      <c r="O217" s="34">
        <f>Rådatakommune[[#This Row],[B15-O]]/Rådatakommune[[#This Row],[B05-O]]-1</f>
        <v>3.4780264222162405E-2</v>
      </c>
      <c r="P217" s="34">
        <f>Rådatakommune[[#This Row],[Kvinner20-39-O]]/Rådatakommune[[#This Row],[B15-O]]</f>
        <v>9.536216779572694E-2</v>
      </c>
      <c r="Q217" s="34">
        <f>Rådatakommune[[#This Row],[Eldre67+-O]]/Rådatakommune[[#This Row],[B15-O]]</f>
        <v>0.17196456487754039</v>
      </c>
      <c r="R217" s="34">
        <f>Rådatakommune[[#This Row],[S14-O]]/Rådatakommune[[#This Row],[S04-O]]-1</f>
        <v>0.12233121754183496</v>
      </c>
      <c r="S217" s="34">
        <f>Rådatakommune[[#This Row],[Y14-O]]/Rådatakommune[[#This Row],[Folk20-64-O]]</f>
        <v>0.96503156872268092</v>
      </c>
    </row>
    <row r="218" spans="1:19" x14ac:dyDescent="0.25">
      <c r="A218" s="2" t="s">
        <v>216</v>
      </c>
      <c r="B218" s="37">
        <v>2322</v>
      </c>
      <c r="C218" s="36">
        <v>2443</v>
      </c>
      <c r="D218" s="33">
        <v>1243</v>
      </c>
      <c r="E218" s="38">
        <v>403</v>
      </c>
      <c r="F218" s="39">
        <v>275</v>
      </c>
      <c r="G218">
        <v>1375</v>
      </c>
      <c r="H218" s="33">
        <v>572</v>
      </c>
      <c r="I218" s="33">
        <v>568</v>
      </c>
      <c r="J218" s="5">
        <v>269.07000000000005</v>
      </c>
      <c r="K218" s="40">
        <v>387000</v>
      </c>
      <c r="L218" s="45">
        <v>195.26666666669999</v>
      </c>
      <c r="M218" s="41">
        <v>1</v>
      </c>
      <c r="N218" s="32">
        <f>Rådatakommune[[#This Row],[B15-O]]/Rådatakommune[[#This Row],[Totalareal2015-O]]</f>
        <v>9.0794217118222011</v>
      </c>
      <c r="O218" s="34">
        <f>Rådatakommune[[#This Row],[B15-O]]/Rådatakommune[[#This Row],[B05-O]]-1</f>
        <v>5.2110249784668383E-2</v>
      </c>
      <c r="P218" s="34">
        <f>Rådatakommune[[#This Row],[Kvinner20-39-O]]/Rådatakommune[[#This Row],[B15-O]]</f>
        <v>0.11256651657797789</v>
      </c>
      <c r="Q218" s="34">
        <f>Rådatakommune[[#This Row],[Eldre67+-O]]/Rådatakommune[[#This Row],[B15-O]]</f>
        <v>0.16496111338518216</v>
      </c>
      <c r="R218" s="34">
        <f>Rådatakommune[[#This Row],[S14-O]]/Rådatakommune[[#This Row],[S04-O]]-1</f>
        <v>-6.9930069930069783E-3</v>
      </c>
      <c r="S218" s="34">
        <f>Rådatakommune[[#This Row],[Y14-O]]/Rådatakommune[[#This Row],[Folk20-64-O]]</f>
        <v>0.90400000000000003</v>
      </c>
    </row>
    <row r="219" spans="1:19" x14ac:dyDescent="0.25">
      <c r="A219" s="2" t="s">
        <v>217</v>
      </c>
      <c r="B219" s="37">
        <v>14908</v>
      </c>
      <c r="C219" s="36">
        <v>19097</v>
      </c>
      <c r="D219" s="33">
        <v>9940</v>
      </c>
      <c r="E219" s="38">
        <v>2235</v>
      </c>
      <c r="F219" s="39">
        <v>2514</v>
      </c>
      <c r="G219">
        <v>11010</v>
      </c>
      <c r="H219" s="33">
        <v>4797</v>
      </c>
      <c r="I219" s="33">
        <v>5777</v>
      </c>
      <c r="J219" s="5">
        <v>139.56</v>
      </c>
      <c r="K219" s="40">
        <v>422700</v>
      </c>
      <c r="L219" s="45">
        <v>162.1</v>
      </c>
      <c r="M219" s="41">
        <v>1</v>
      </c>
      <c r="N219" s="32">
        <f>Rådatakommune[[#This Row],[B15-O]]/Rådatakommune[[#This Row],[Totalareal2015-O]]</f>
        <v>136.83720263685871</v>
      </c>
      <c r="O219" s="34">
        <f>Rådatakommune[[#This Row],[B15-O]]/Rådatakommune[[#This Row],[B05-O]]-1</f>
        <v>0.28099007244432528</v>
      </c>
      <c r="P219" s="34">
        <f>Rådatakommune[[#This Row],[Kvinner20-39-O]]/Rådatakommune[[#This Row],[B15-O]]</f>
        <v>0.13164371367230454</v>
      </c>
      <c r="Q219" s="34">
        <f>Rådatakommune[[#This Row],[Eldre67+-O]]/Rådatakommune[[#This Row],[B15-O]]</f>
        <v>0.11703408912394617</v>
      </c>
      <c r="R219" s="34">
        <f>Rådatakommune[[#This Row],[S14-O]]/Rådatakommune[[#This Row],[S04-O]]-1</f>
        <v>0.20429435063581414</v>
      </c>
      <c r="S219" s="34">
        <f>Rådatakommune[[#This Row],[Y14-O]]/Rådatakommune[[#This Row],[Folk20-64-O]]</f>
        <v>0.90281562216167122</v>
      </c>
    </row>
    <row r="220" spans="1:19" x14ac:dyDescent="0.25">
      <c r="A220" s="2" t="s">
        <v>218</v>
      </c>
      <c r="B220" s="37">
        <v>4451</v>
      </c>
      <c r="C220" s="36">
        <v>5012</v>
      </c>
      <c r="D220" s="33">
        <v>2668</v>
      </c>
      <c r="E220" s="38">
        <v>666</v>
      </c>
      <c r="F220" s="39">
        <v>645</v>
      </c>
      <c r="G220">
        <v>2835</v>
      </c>
      <c r="H220" s="33">
        <v>2062</v>
      </c>
      <c r="I220" s="33">
        <v>2994</v>
      </c>
      <c r="J220" s="5">
        <v>117.18</v>
      </c>
      <c r="K220" s="40">
        <v>475200</v>
      </c>
      <c r="L220" s="45">
        <v>220.96666666670001</v>
      </c>
      <c r="M220" s="41">
        <v>5</v>
      </c>
      <c r="N220" s="32">
        <f>Rådatakommune[[#This Row],[B15-O]]/Rådatakommune[[#This Row],[Totalareal2015-O]]</f>
        <v>42.771804062126641</v>
      </c>
      <c r="O220" s="34">
        <f>Rådatakommune[[#This Row],[B15-O]]/Rådatakommune[[#This Row],[B05-O]]-1</f>
        <v>0.12603909233880017</v>
      </c>
      <c r="P220" s="34">
        <f>Rådatakommune[[#This Row],[Kvinner20-39-O]]/Rådatakommune[[#This Row],[B15-O]]</f>
        <v>0.12869114126097367</v>
      </c>
      <c r="Q220" s="34">
        <f>Rådatakommune[[#This Row],[Eldre67+-O]]/Rådatakommune[[#This Row],[B15-O]]</f>
        <v>0.13288108539505186</v>
      </c>
      <c r="R220" s="34">
        <f>Rådatakommune[[#This Row],[S14-O]]/Rådatakommune[[#This Row],[S04-O]]-1</f>
        <v>0.45198836081474303</v>
      </c>
      <c r="S220" s="34">
        <f>Rådatakommune[[#This Row],[Y14-O]]/Rådatakommune[[#This Row],[Folk20-64-O]]</f>
        <v>0.9410934744268078</v>
      </c>
    </row>
    <row r="221" spans="1:19" x14ac:dyDescent="0.25">
      <c r="A221" s="2" t="s">
        <v>219</v>
      </c>
      <c r="B221" s="37">
        <v>5537</v>
      </c>
      <c r="C221" s="36">
        <v>6752</v>
      </c>
      <c r="D221" s="33">
        <v>3421</v>
      </c>
      <c r="E221" s="38">
        <v>786</v>
      </c>
      <c r="F221" s="39">
        <v>861</v>
      </c>
      <c r="G221">
        <v>3908</v>
      </c>
      <c r="H221" s="33">
        <v>1534</v>
      </c>
      <c r="I221" s="33">
        <v>1790</v>
      </c>
      <c r="J221" s="5">
        <v>99.54</v>
      </c>
      <c r="K221" s="40">
        <v>409000</v>
      </c>
      <c r="L221" s="45">
        <v>185.36666666669998</v>
      </c>
      <c r="M221" s="41">
        <v>1</v>
      </c>
      <c r="N221" s="32">
        <f>Rådatakommune[[#This Row],[B15-O]]/Rådatakommune[[#This Row],[Totalareal2015-O]]</f>
        <v>67.832027325698206</v>
      </c>
      <c r="O221" s="34">
        <f>Rådatakommune[[#This Row],[B15-O]]/Rådatakommune[[#This Row],[B05-O]]-1</f>
        <v>0.21943290590572517</v>
      </c>
      <c r="P221" s="34">
        <f>Rådatakommune[[#This Row],[Kvinner20-39-O]]/Rådatakommune[[#This Row],[B15-O]]</f>
        <v>0.12751777251184834</v>
      </c>
      <c r="Q221" s="34">
        <f>Rådatakommune[[#This Row],[Eldre67+-O]]/Rådatakommune[[#This Row],[B15-O]]</f>
        <v>0.11640995260663507</v>
      </c>
      <c r="R221" s="34">
        <f>Rådatakommune[[#This Row],[S14-O]]/Rådatakommune[[#This Row],[S04-O]]-1</f>
        <v>0.16688396349413304</v>
      </c>
      <c r="S221" s="34">
        <f>Rådatakommune[[#This Row],[Y14-O]]/Rådatakommune[[#This Row],[Folk20-64-O]]</f>
        <v>0.87538382804503578</v>
      </c>
    </row>
    <row r="222" spans="1:19" x14ac:dyDescent="0.25">
      <c r="A222" s="2" t="s">
        <v>220</v>
      </c>
      <c r="B222" s="37">
        <v>20043</v>
      </c>
      <c r="C222" s="36">
        <v>24427</v>
      </c>
      <c r="D222" s="33">
        <v>12872</v>
      </c>
      <c r="E222" s="38">
        <v>2408</v>
      </c>
      <c r="F222" s="39">
        <v>3216</v>
      </c>
      <c r="G222">
        <v>14353</v>
      </c>
      <c r="H222" s="33">
        <v>7439</v>
      </c>
      <c r="I222" s="33">
        <v>12208</v>
      </c>
      <c r="J222" s="5">
        <v>148.11999999999998</v>
      </c>
      <c r="K222" s="40">
        <v>435800</v>
      </c>
      <c r="L222" s="45">
        <v>170.01666666670002</v>
      </c>
      <c r="M222" s="41">
        <v>1</v>
      </c>
      <c r="N222" s="32">
        <f>Rådatakommune[[#This Row],[B15-O]]/Rådatakommune[[#This Row],[Totalareal2015-O]]</f>
        <v>164.91358358088038</v>
      </c>
      <c r="O222" s="34">
        <f>Rådatakommune[[#This Row],[B15-O]]/Rådatakommune[[#This Row],[B05-O]]-1</f>
        <v>0.21872973107818194</v>
      </c>
      <c r="P222" s="34">
        <f>Rådatakommune[[#This Row],[Kvinner20-39-O]]/Rådatakommune[[#This Row],[B15-O]]</f>
        <v>0.13165759200884267</v>
      </c>
      <c r="Q222" s="34">
        <f>Rådatakommune[[#This Row],[Eldre67+-O]]/Rådatakommune[[#This Row],[B15-O]]</f>
        <v>9.8579440782740405E-2</v>
      </c>
      <c r="R222" s="34">
        <f>Rådatakommune[[#This Row],[S14-O]]/Rådatakommune[[#This Row],[S04-O]]-1</f>
        <v>0.64108079042882116</v>
      </c>
      <c r="S222" s="34">
        <f>Rådatakommune[[#This Row],[Y14-O]]/Rådatakommune[[#This Row],[Folk20-64-O]]</f>
        <v>0.8968159966557514</v>
      </c>
    </row>
    <row r="223" spans="1:19" x14ac:dyDescent="0.25">
      <c r="A223" s="2" t="s">
        <v>221</v>
      </c>
      <c r="B223" s="37">
        <v>22020</v>
      </c>
      <c r="C223" s="36">
        <v>27858</v>
      </c>
      <c r="D223" s="33">
        <v>14201</v>
      </c>
      <c r="E223" s="38">
        <v>3071</v>
      </c>
      <c r="F223" s="39">
        <v>3654</v>
      </c>
      <c r="G223">
        <v>15937</v>
      </c>
      <c r="H223" s="33">
        <v>5808</v>
      </c>
      <c r="I223" s="33">
        <v>7632</v>
      </c>
      <c r="J223" s="5">
        <v>101.11</v>
      </c>
      <c r="K223" s="40">
        <v>415100</v>
      </c>
      <c r="L223" s="45">
        <v>168.5833333333</v>
      </c>
      <c r="M223" s="41">
        <v>1</v>
      </c>
      <c r="N223" s="32">
        <f>Rådatakommune[[#This Row],[B15-O]]/Rådatakommune[[#This Row],[Totalareal2015-O]]</f>
        <v>275.52170902976957</v>
      </c>
      <c r="O223" s="34">
        <f>Rådatakommune[[#This Row],[B15-O]]/Rådatakommune[[#This Row],[B05-O]]-1</f>
        <v>0.26512261580381469</v>
      </c>
      <c r="P223" s="34">
        <f>Rådatakommune[[#This Row],[Kvinner20-39-O]]/Rådatakommune[[#This Row],[B15-O]]</f>
        <v>0.13116519491707948</v>
      </c>
      <c r="Q223" s="34">
        <f>Rådatakommune[[#This Row],[Eldre67+-O]]/Rådatakommune[[#This Row],[B15-O]]</f>
        <v>0.11023763371383445</v>
      </c>
      <c r="R223" s="34">
        <f>Rådatakommune[[#This Row],[S14-O]]/Rådatakommune[[#This Row],[S04-O]]-1</f>
        <v>0.31404958677685957</v>
      </c>
      <c r="S223" s="34">
        <f>Rådatakommune[[#This Row],[Y14-O]]/Rådatakommune[[#This Row],[Folk20-64-O]]</f>
        <v>0.89107109242642901</v>
      </c>
    </row>
    <row r="224" spans="1:19" x14ac:dyDescent="0.25">
      <c r="A224" s="2" t="s">
        <v>222</v>
      </c>
      <c r="B224" s="37">
        <v>4154</v>
      </c>
      <c r="C224" s="36">
        <v>4096</v>
      </c>
      <c r="D224" s="33">
        <v>1931</v>
      </c>
      <c r="E224" s="38">
        <v>821</v>
      </c>
      <c r="F224" s="39">
        <v>463</v>
      </c>
      <c r="G224">
        <v>2258</v>
      </c>
      <c r="H224" s="33">
        <v>1617</v>
      </c>
      <c r="I224" s="33">
        <v>1341</v>
      </c>
      <c r="J224" s="5">
        <v>715.33999999999992</v>
      </c>
      <c r="K224" s="40">
        <v>350700</v>
      </c>
      <c r="L224" s="45">
        <v>205.1</v>
      </c>
      <c r="M224" s="41">
        <v>1</v>
      </c>
      <c r="N224" s="32">
        <f>Rådatakommune[[#This Row],[B15-O]]/Rådatakommune[[#This Row],[Totalareal2015-O]]</f>
        <v>5.7259485000139803</v>
      </c>
      <c r="O224" s="34">
        <f>Rådatakommune[[#This Row],[B15-O]]/Rådatakommune[[#This Row],[B05-O]]-1</f>
        <v>-1.3962445835339454E-2</v>
      </c>
      <c r="P224" s="34">
        <f>Rådatakommune[[#This Row],[Kvinner20-39-O]]/Rådatakommune[[#This Row],[B15-O]]</f>
        <v>0.113037109375</v>
      </c>
      <c r="Q224" s="34">
        <f>Rådatakommune[[#This Row],[Eldre67+-O]]/Rådatakommune[[#This Row],[B15-O]]</f>
        <v>0.200439453125</v>
      </c>
      <c r="R224" s="34">
        <f>Rådatakommune[[#This Row],[S14-O]]/Rådatakommune[[#This Row],[S04-O]]-1</f>
        <v>-0.17068645640074209</v>
      </c>
      <c r="S224" s="34">
        <f>Rådatakommune[[#This Row],[Y14-O]]/Rådatakommune[[#This Row],[Folk20-64-O]]</f>
        <v>0.85518157661647476</v>
      </c>
    </row>
    <row r="225" spans="1:19" x14ac:dyDescent="0.25">
      <c r="A225" s="2" t="s">
        <v>223</v>
      </c>
      <c r="B225" s="37">
        <v>361</v>
      </c>
      <c r="C225" s="36">
        <v>378</v>
      </c>
      <c r="D225" s="33">
        <v>198</v>
      </c>
      <c r="E225" s="38">
        <v>55</v>
      </c>
      <c r="F225" s="39">
        <v>39</v>
      </c>
      <c r="G225">
        <v>213</v>
      </c>
      <c r="H225" s="33">
        <v>218</v>
      </c>
      <c r="I225" s="33">
        <v>233</v>
      </c>
      <c r="J225" s="5">
        <v>411.99</v>
      </c>
      <c r="K225" s="40">
        <v>376700</v>
      </c>
      <c r="L225" s="45">
        <v>229.6666666667</v>
      </c>
      <c r="M225" s="41">
        <v>5</v>
      </c>
      <c r="N225" s="32">
        <f>Rådatakommune[[#This Row],[B15-O]]/Rådatakommune[[#This Row],[Totalareal2015-O]]</f>
        <v>0.91749799752421168</v>
      </c>
      <c r="O225" s="34">
        <f>Rådatakommune[[#This Row],[B15-O]]/Rådatakommune[[#This Row],[B05-O]]-1</f>
        <v>4.7091412742382266E-2</v>
      </c>
      <c r="P225" s="34">
        <f>Rådatakommune[[#This Row],[Kvinner20-39-O]]/Rådatakommune[[#This Row],[B15-O]]</f>
        <v>0.10317460317460317</v>
      </c>
      <c r="Q225" s="34">
        <f>Rådatakommune[[#This Row],[Eldre67+-O]]/Rådatakommune[[#This Row],[B15-O]]</f>
        <v>0.14550264550264549</v>
      </c>
      <c r="R225" s="34">
        <f>Rådatakommune[[#This Row],[S14-O]]/Rådatakommune[[#This Row],[S04-O]]-1</f>
        <v>6.8807339449541205E-2</v>
      </c>
      <c r="S225" s="34">
        <f>Rådatakommune[[#This Row],[Y14-O]]/Rådatakommune[[#This Row],[Folk20-64-O]]</f>
        <v>0.92957746478873238</v>
      </c>
    </row>
    <row r="226" spans="1:19" x14ac:dyDescent="0.25">
      <c r="A226" s="2" t="s">
        <v>224</v>
      </c>
      <c r="B226" s="37">
        <v>7207</v>
      </c>
      <c r="C226" s="36">
        <v>7842</v>
      </c>
      <c r="D226" s="33">
        <v>4030</v>
      </c>
      <c r="E226" s="38">
        <v>1168</v>
      </c>
      <c r="F226" s="39">
        <v>924</v>
      </c>
      <c r="G226">
        <v>4377</v>
      </c>
      <c r="H226" s="33">
        <v>2374</v>
      </c>
      <c r="I226" s="33">
        <v>2657</v>
      </c>
      <c r="J226" s="5">
        <v>255.12</v>
      </c>
      <c r="K226" s="40">
        <v>373700</v>
      </c>
      <c r="L226" s="45">
        <v>189.5</v>
      </c>
      <c r="M226" s="41">
        <v>1</v>
      </c>
      <c r="N226" s="32">
        <f>Rådatakommune[[#This Row],[B15-O]]/Rådatakommune[[#This Row],[Totalareal2015-O]]</f>
        <v>30.738476011288803</v>
      </c>
      <c r="O226" s="34">
        <f>Rådatakommune[[#This Row],[B15-O]]/Rådatakommune[[#This Row],[B05-O]]-1</f>
        <v>8.8108783127514911E-2</v>
      </c>
      <c r="P226" s="34">
        <f>Rådatakommune[[#This Row],[Kvinner20-39-O]]/Rådatakommune[[#This Row],[B15-O]]</f>
        <v>0.11782708492731446</v>
      </c>
      <c r="Q226" s="34">
        <f>Rådatakommune[[#This Row],[Eldre67+-O]]/Rådatakommune[[#This Row],[B15-O]]</f>
        <v>0.14894159653149708</v>
      </c>
      <c r="R226" s="34">
        <f>Rådatakommune[[#This Row],[S14-O]]/Rådatakommune[[#This Row],[S04-O]]-1</f>
        <v>0.11920808761583834</v>
      </c>
      <c r="S226" s="34">
        <f>Rådatakommune[[#This Row],[Y14-O]]/Rådatakommune[[#This Row],[Folk20-64-O]]</f>
        <v>0.92072195567740467</v>
      </c>
    </row>
    <row r="227" spans="1:19" x14ac:dyDescent="0.25">
      <c r="A227" s="2" t="s">
        <v>225</v>
      </c>
      <c r="B227" s="37">
        <v>5861</v>
      </c>
      <c r="C227" s="36">
        <v>7736</v>
      </c>
      <c r="D227" s="33">
        <v>4001</v>
      </c>
      <c r="E227" s="38">
        <v>805</v>
      </c>
      <c r="F227" s="39">
        <v>1038</v>
      </c>
      <c r="G227">
        <v>4442</v>
      </c>
      <c r="H227" s="33">
        <v>1678</v>
      </c>
      <c r="I227" s="33">
        <v>2167</v>
      </c>
      <c r="J227" s="5">
        <v>92.58</v>
      </c>
      <c r="K227" s="40">
        <v>405000</v>
      </c>
      <c r="L227" s="45">
        <v>187.88333333330002</v>
      </c>
      <c r="M227" s="41">
        <v>1</v>
      </c>
      <c r="N227" s="32">
        <f>Rådatakommune[[#This Row],[B15-O]]/Rådatakommune[[#This Row],[Totalareal2015-O]]</f>
        <v>83.560164182328805</v>
      </c>
      <c r="O227" s="34">
        <f>Rådatakommune[[#This Row],[B15-O]]/Rådatakommune[[#This Row],[B05-O]]-1</f>
        <v>0.31991127793891838</v>
      </c>
      <c r="P227" s="34">
        <f>Rådatakommune[[#This Row],[Kvinner20-39-O]]/Rådatakommune[[#This Row],[B15-O]]</f>
        <v>0.13417786970010342</v>
      </c>
      <c r="Q227" s="34">
        <f>Rådatakommune[[#This Row],[Eldre67+-O]]/Rådatakommune[[#This Row],[B15-O]]</f>
        <v>0.10405894519131334</v>
      </c>
      <c r="R227" s="34">
        <f>Rådatakommune[[#This Row],[S14-O]]/Rådatakommune[[#This Row],[S04-O]]-1</f>
        <v>0.29141835518474379</v>
      </c>
      <c r="S227" s="34">
        <f>Rådatakommune[[#This Row],[Y14-O]]/Rådatakommune[[#This Row],[Folk20-64-O]]</f>
        <v>0.90072039621791988</v>
      </c>
    </row>
    <row r="228" spans="1:19" x14ac:dyDescent="0.25">
      <c r="A228" s="2" t="s">
        <v>226</v>
      </c>
      <c r="B228" s="37">
        <v>3975</v>
      </c>
      <c r="C228" s="36">
        <v>4733</v>
      </c>
      <c r="D228" s="33">
        <v>2335</v>
      </c>
      <c r="E228" s="38">
        <v>620</v>
      </c>
      <c r="F228" s="39">
        <v>577</v>
      </c>
      <c r="G228">
        <v>2719</v>
      </c>
      <c r="H228" s="33">
        <v>1280</v>
      </c>
      <c r="I228" s="33">
        <v>1508</v>
      </c>
      <c r="J228" s="5">
        <v>66.75</v>
      </c>
      <c r="K228" s="40">
        <v>401800</v>
      </c>
      <c r="L228" s="45">
        <v>201.9333333333</v>
      </c>
      <c r="M228" s="41">
        <v>1</v>
      </c>
      <c r="N228" s="32">
        <f>Rådatakommune[[#This Row],[B15-O]]/Rådatakommune[[#This Row],[Totalareal2015-O]]</f>
        <v>70.906367041198507</v>
      </c>
      <c r="O228" s="34">
        <f>Rådatakommune[[#This Row],[B15-O]]/Rådatakommune[[#This Row],[B05-O]]-1</f>
        <v>0.19069182389937112</v>
      </c>
      <c r="P228" s="34">
        <f>Rådatakommune[[#This Row],[Kvinner20-39-O]]/Rådatakommune[[#This Row],[B15-O]]</f>
        <v>0.12190999366152545</v>
      </c>
      <c r="Q228" s="34">
        <f>Rådatakommune[[#This Row],[Eldre67+-O]]/Rådatakommune[[#This Row],[B15-O]]</f>
        <v>0.13099514050285233</v>
      </c>
      <c r="R228" s="34">
        <f>Rådatakommune[[#This Row],[S14-O]]/Rådatakommune[[#This Row],[S04-O]]-1</f>
        <v>0.17812500000000009</v>
      </c>
      <c r="S228" s="34">
        <f>Rådatakommune[[#This Row],[Y14-O]]/Rådatakommune[[#This Row],[Folk20-64-O]]</f>
        <v>0.85877160720853252</v>
      </c>
    </row>
    <row r="229" spans="1:19" x14ac:dyDescent="0.25">
      <c r="A229" s="2" t="s">
        <v>227</v>
      </c>
      <c r="B229" s="37">
        <v>4656</v>
      </c>
      <c r="C229" s="36">
        <v>5014</v>
      </c>
      <c r="D229" s="33">
        <v>2514</v>
      </c>
      <c r="E229" s="38">
        <v>757</v>
      </c>
      <c r="F229" s="39">
        <v>562</v>
      </c>
      <c r="G229">
        <v>2846</v>
      </c>
      <c r="H229" s="33">
        <v>1515</v>
      </c>
      <c r="I229" s="33">
        <v>1536</v>
      </c>
      <c r="J229" s="5">
        <v>111.44</v>
      </c>
      <c r="K229" s="40">
        <v>382700</v>
      </c>
      <c r="L229" s="45">
        <v>208.38333333330002</v>
      </c>
      <c r="M229" s="41">
        <v>1</v>
      </c>
      <c r="N229" s="32">
        <f>Rådatakommune[[#This Row],[B15-O]]/Rådatakommune[[#This Row],[Totalareal2015-O]]</f>
        <v>44.992821249102654</v>
      </c>
      <c r="O229" s="34">
        <f>Rådatakommune[[#This Row],[B15-O]]/Rådatakommune[[#This Row],[B05-O]]-1</f>
        <v>7.6890034364261117E-2</v>
      </c>
      <c r="P229" s="34">
        <f>Rådatakommune[[#This Row],[Kvinner20-39-O]]/Rådatakommune[[#This Row],[B15-O]]</f>
        <v>0.11208615875548464</v>
      </c>
      <c r="Q229" s="34">
        <f>Rådatakommune[[#This Row],[Eldre67+-O]]/Rådatakommune[[#This Row],[B15-O]]</f>
        <v>0.1509772636617471</v>
      </c>
      <c r="R229" s="34">
        <f>Rådatakommune[[#This Row],[S14-O]]/Rådatakommune[[#This Row],[S04-O]]-1</f>
        <v>1.3861386138613874E-2</v>
      </c>
      <c r="S229" s="34">
        <f>Rådatakommune[[#This Row],[Y14-O]]/Rådatakommune[[#This Row],[Folk20-64-O]]</f>
        <v>0.88334504567814476</v>
      </c>
    </row>
    <row r="230" spans="1:19" x14ac:dyDescent="0.25">
      <c r="A230" s="2" t="s">
        <v>228</v>
      </c>
      <c r="B230" s="37">
        <v>13043</v>
      </c>
      <c r="C230" s="36">
        <v>15402</v>
      </c>
      <c r="D230" s="33">
        <v>7826</v>
      </c>
      <c r="E230" s="38">
        <v>2098</v>
      </c>
      <c r="F230" s="39">
        <v>1880</v>
      </c>
      <c r="G230">
        <v>8704</v>
      </c>
      <c r="H230" s="33">
        <v>5609</v>
      </c>
      <c r="I230" s="33">
        <v>6797</v>
      </c>
      <c r="J230" s="5">
        <v>474.99</v>
      </c>
      <c r="K230" s="40">
        <v>414800</v>
      </c>
      <c r="L230" s="45">
        <v>188.7</v>
      </c>
      <c r="M230" s="41">
        <v>1</v>
      </c>
      <c r="N230" s="32">
        <f>Rådatakommune[[#This Row],[B15-O]]/Rådatakommune[[#This Row],[Totalareal2015-O]]</f>
        <v>32.42594580938546</v>
      </c>
      <c r="O230" s="34">
        <f>Rådatakommune[[#This Row],[B15-O]]/Rådatakommune[[#This Row],[B05-O]]-1</f>
        <v>0.18086329832093839</v>
      </c>
      <c r="P230" s="34">
        <f>Rådatakommune[[#This Row],[Kvinner20-39-O]]/Rådatakommune[[#This Row],[B15-O]]</f>
        <v>0.122062069861057</v>
      </c>
      <c r="Q230" s="34">
        <f>Rådatakommune[[#This Row],[Eldre67+-O]]/Rådatakommune[[#This Row],[B15-O]]</f>
        <v>0.13621607583430723</v>
      </c>
      <c r="R230" s="34">
        <f>Rådatakommune[[#This Row],[S14-O]]/Rådatakommune[[#This Row],[S04-O]]-1</f>
        <v>0.21180246033160999</v>
      </c>
      <c r="S230" s="34">
        <f>Rådatakommune[[#This Row],[Y14-O]]/Rådatakommune[[#This Row],[Folk20-64-O]]</f>
        <v>0.89912683823529416</v>
      </c>
    </row>
    <row r="231" spans="1:19" x14ac:dyDescent="0.25">
      <c r="A231" s="2" t="s">
        <v>229</v>
      </c>
      <c r="B231" s="37">
        <v>2527</v>
      </c>
      <c r="C231" s="36">
        <v>2856</v>
      </c>
      <c r="D231" s="33">
        <v>1484</v>
      </c>
      <c r="E231" s="38">
        <v>477</v>
      </c>
      <c r="F231" s="39">
        <v>326</v>
      </c>
      <c r="G231">
        <v>1611</v>
      </c>
      <c r="H231" s="33">
        <v>1001</v>
      </c>
      <c r="I231" s="33">
        <v>1194</v>
      </c>
      <c r="J231" s="5">
        <v>57.55</v>
      </c>
      <c r="K231" s="40">
        <v>440000</v>
      </c>
      <c r="L231" s="45">
        <v>221.4333333333</v>
      </c>
      <c r="M231" s="41">
        <v>1</v>
      </c>
      <c r="N231" s="32">
        <f>Rådatakommune[[#This Row],[B15-O]]/Rådatakommune[[#This Row],[Totalareal2015-O]]</f>
        <v>49.62641181581234</v>
      </c>
      <c r="O231" s="34">
        <f>Rådatakommune[[#This Row],[B15-O]]/Rådatakommune[[#This Row],[B05-O]]-1</f>
        <v>0.1301939058171746</v>
      </c>
      <c r="P231" s="34">
        <f>Rådatakommune[[#This Row],[Kvinner20-39-O]]/Rådatakommune[[#This Row],[B15-O]]</f>
        <v>0.11414565826330532</v>
      </c>
      <c r="Q231" s="34">
        <f>Rådatakommune[[#This Row],[Eldre67+-O]]/Rådatakommune[[#This Row],[B15-O]]</f>
        <v>0.16701680672268907</v>
      </c>
      <c r="R231" s="34">
        <f>Rådatakommune[[#This Row],[S14-O]]/Rådatakommune[[#This Row],[S04-O]]-1</f>
        <v>0.19280719280719283</v>
      </c>
      <c r="S231" s="34">
        <f>Rådatakommune[[#This Row],[Y14-O]]/Rådatakommune[[#This Row],[Folk20-64-O]]</f>
        <v>0.92116697703289885</v>
      </c>
    </row>
    <row r="232" spans="1:19" x14ac:dyDescent="0.25">
      <c r="A232" s="2" t="s">
        <v>230</v>
      </c>
      <c r="B232" s="37">
        <v>661</v>
      </c>
      <c r="C232" s="36">
        <v>563</v>
      </c>
      <c r="D232" s="33">
        <v>266</v>
      </c>
      <c r="E232" s="38">
        <v>116</v>
      </c>
      <c r="F232" s="39">
        <v>42</v>
      </c>
      <c r="G232">
        <v>289</v>
      </c>
      <c r="H232" s="33">
        <v>283</v>
      </c>
      <c r="I232" s="33">
        <v>261</v>
      </c>
      <c r="J232" s="5">
        <v>9.2799999999999994</v>
      </c>
      <c r="K232" s="40">
        <v>388800</v>
      </c>
      <c r="L232" s="45">
        <v>257.116666667</v>
      </c>
      <c r="M232" s="41">
        <v>11</v>
      </c>
      <c r="N232" s="32">
        <f>Rådatakommune[[#This Row],[B15-O]]/Rådatakommune[[#This Row],[Totalareal2015-O]]</f>
        <v>60.668103448275865</v>
      </c>
      <c r="O232" s="34">
        <f>Rådatakommune[[#This Row],[B15-O]]/Rådatakommune[[#This Row],[B05-O]]-1</f>
        <v>-0.14826021180030258</v>
      </c>
      <c r="P232" s="34">
        <f>Rådatakommune[[#This Row],[Kvinner20-39-O]]/Rådatakommune[[#This Row],[B15-O]]</f>
        <v>7.460035523978685E-2</v>
      </c>
      <c r="Q232" s="34">
        <f>Rådatakommune[[#This Row],[Eldre67+-O]]/Rådatakommune[[#This Row],[B15-O]]</f>
        <v>0.20603907637655416</v>
      </c>
      <c r="R232" s="34">
        <f>Rådatakommune[[#This Row],[S14-O]]/Rådatakommune[[#This Row],[S04-O]]-1</f>
        <v>-7.7738515901060068E-2</v>
      </c>
      <c r="S232" s="34">
        <f>Rådatakommune[[#This Row],[Y14-O]]/Rådatakommune[[#This Row],[Folk20-64-O]]</f>
        <v>0.92041522491349481</v>
      </c>
    </row>
    <row r="233" spans="1:19" x14ac:dyDescent="0.25">
      <c r="A233" s="2" t="s">
        <v>231</v>
      </c>
      <c r="B233" s="37">
        <v>1693</v>
      </c>
      <c r="C233" s="36">
        <v>1704</v>
      </c>
      <c r="D233" s="33">
        <v>893</v>
      </c>
      <c r="E233" s="38">
        <v>350</v>
      </c>
      <c r="F233" s="39">
        <v>163</v>
      </c>
      <c r="G233">
        <v>905</v>
      </c>
      <c r="H233" s="33">
        <v>536</v>
      </c>
      <c r="I233" s="33">
        <v>605</v>
      </c>
      <c r="J233" s="5">
        <v>556.07000000000005</v>
      </c>
      <c r="K233" s="40">
        <v>391800</v>
      </c>
      <c r="L233" s="45">
        <v>228.38333333330002</v>
      </c>
      <c r="M233" s="41">
        <v>5</v>
      </c>
      <c r="N233" s="32">
        <f>Rådatakommune[[#This Row],[B15-O]]/Rådatakommune[[#This Row],[Totalareal2015-O]]</f>
        <v>3.0643624004172132</v>
      </c>
      <c r="O233" s="34">
        <f>Rådatakommune[[#This Row],[B15-O]]/Rådatakommune[[#This Row],[B05-O]]-1</f>
        <v>6.4973419964560186E-3</v>
      </c>
      <c r="P233" s="34">
        <f>Rådatakommune[[#This Row],[Kvinner20-39-O]]/Rådatakommune[[#This Row],[B15-O]]</f>
        <v>9.5657276995305171E-2</v>
      </c>
      <c r="Q233" s="34">
        <f>Rådatakommune[[#This Row],[Eldre67+-O]]/Rådatakommune[[#This Row],[B15-O]]</f>
        <v>0.20539906103286384</v>
      </c>
      <c r="R233" s="34">
        <f>Rådatakommune[[#This Row],[S14-O]]/Rådatakommune[[#This Row],[S04-O]]-1</f>
        <v>0.12873134328358216</v>
      </c>
      <c r="S233" s="34">
        <f>Rådatakommune[[#This Row],[Y14-O]]/Rådatakommune[[#This Row],[Folk20-64-O]]</f>
        <v>0.9867403314917127</v>
      </c>
    </row>
    <row r="234" spans="1:19" x14ac:dyDescent="0.25">
      <c r="A234" s="2" t="s">
        <v>232</v>
      </c>
      <c r="B234" s="37">
        <v>11364</v>
      </c>
      <c r="C234" s="36">
        <v>11862</v>
      </c>
      <c r="D234" s="33">
        <v>6282</v>
      </c>
      <c r="E234" s="38">
        <v>1536</v>
      </c>
      <c r="F234" s="39">
        <v>1381</v>
      </c>
      <c r="G234">
        <v>6873</v>
      </c>
      <c r="H234" s="33">
        <v>5096</v>
      </c>
      <c r="I234" s="33">
        <v>6001</v>
      </c>
      <c r="J234" s="5">
        <v>693.3</v>
      </c>
      <c r="K234" s="40">
        <v>400200</v>
      </c>
      <c r="L234" s="45">
        <v>168.11666666667</v>
      </c>
      <c r="M234" s="41">
        <v>7</v>
      </c>
      <c r="N234" s="32">
        <f>Rådatakommune[[#This Row],[B15-O]]/Rådatakommune[[#This Row],[Totalareal2015-O]]</f>
        <v>17.10947641713544</v>
      </c>
      <c r="O234" s="34">
        <f>Rådatakommune[[#This Row],[B15-O]]/Rådatakommune[[#This Row],[B05-O]]-1</f>
        <v>4.3822597676874242E-2</v>
      </c>
      <c r="P234" s="34">
        <f>Rådatakommune[[#This Row],[Kvinner20-39-O]]/Rådatakommune[[#This Row],[B15-O]]</f>
        <v>0.11642218850109594</v>
      </c>
      <c r="Q234" s="34">
        <f>Rådatakommune[[#This Row],[Eldre67+-O]]/Rådatakommune[[#This Row],[B15-O]]</f>
        <v>0.12948912493677289</v>
      </c>
      <c r="R234" s="34">
        <f>Rådatakommune[[#This Row],[S14-O]]/Rådatakommune[[#This Row],[S04-O]]-1</f>
        <v>0.17759026687598123</v>
      </c>
      <c r="S234" s="34">
        <f>Rådatakommune[[#This Row],[Y14-O]]/Rådatakommune[[#This Row],[Folk20-64-O]]</f>
        <v>0.91401134875600176</v>
      </c>
    </row>
    <row r="235" spans="1:19" x14ac:dyDescent="0.25">
      <c r="A235" s="2" t="s">
        <v>233</v>
      </c>
      <c r="B235" s="37">
        <v>2459</v>
      </c>
      <c r="C235" s="36">
        <v>2335</v>
      </c>
      <c r="D235" s="33">
        <v>1257</v>
      </c>
      <c r="E235" s="38">
        <v>449</v>
      </c>
      <c r="F235" s="39">
        <v>255</v>
      </c>
      <c r="G235">
        <v>1265</v>
      </c>
      <c r="H235" s="33">
        <v>1154</v>
      </c>
      <c r="I235" s="33">
        <v>1317</v>
      </c>
      <c r="J235" s="5">
        <v>597.20999999999992</v>
      </c>
      <c r="K235" s="40">
        <v>383600</v>
      </c>
      <c r="L235" s="45">
        <v>259.383333333</v>
      </c>
      <c r="M235" s="41">
        <v>11</v>
      </c>
      <c r="N235" s="32">
        <f>Rådatakommune[[#This Row],[B15-O]]/Rådatakommune[[#This Row],[Totalareal2015-O]]</f>
        <v>3.9098474573433135</v>
      </c>
      <c r="O235" s="34">
        <f>Rådatakommune[[#This Row],[B15-O]]/Rådatakommune[[#This Row],[B05-O]]-1</f>
        <v>-5.0427002846685665E-2</v>
      </c>
      <c r="P235" s="34">
        <f>Rådatakommune[[#This Row],[Kvinner20-39-O]]/Rådatakommune[[#This Row],[B15-O]]</f>
        <v>0.10920770877944326</v>
      </c>
      <c r="Q235" s="34">
        <f>Rådatakommune[[#This Row],[Eldre67+-O]]/Rådatakommune[[#This Row],[B15-O]]</f>
        <v>0.19229122055674519</v>
      </c>
      <c r="R235" s="34">
        <f>Rådatakommune[[#This Row],[S14-O]]/Rådatakommune[[#This Row],[S04-O]]-1</f>
        <v>0.14124783362218363</v>
      </c>
      <c r="S235" s="34">
        <f>Rådatakommune[[#This Row],[Y14-O]]/Rådatakommune[[#This Row],[Folk20-64-O]]</f>
        <v>0.99367588932806328</v>
      </c>
    </row>
    <row r="236" spans="1:19" x14ac:dyDescent="0.25">
      <c r="A236" s="2" t="s">
        <v>234</v>
      </c>
      <c r="B236" s="37">
        <v>875</v>
      </c>
      <c r="C236" s="36">
        <v>800</v>
      </c>
      <c r="D236" s="33">
        <v>423</v>
      </c>
      <c r="E236" s="38">
        <v>172</v>
      </c>
      <c r="F236" s="39">
        <v>65</v>
      </c>
      <c r="G236">
        <v>450</v>
      </c>
      <c r="H236" s="33">
        <v>377</v>
      </c>
      <c r="I236" s="33">
        <v>379</v>
      </c>
      <c r="J236" s="5">
        <v>228.25</v>
      </c>
      <c r="K236" s="40">
        <v>369100</v>
      </c>
      <c r="L236" s="45">
        <v>311.3</v>
      </c>
      <c r="M236" s="41">
        <v>11</v>
      </c>
      <c r="N236" s="32">
        <f>Rådatakommune[[#This Row],[B15-O]]/Rådatakommune[[#This Row],[Totalareal2015-O]]</f>
        <v>3.5049288061336252</v>
      </c>
      <c r="O236" s="34">
        <f>Rådatakommune[[#This Row],[B15-O]]/Rådatakommune[[#This Row],[B05-O]]-1</f>
        <v>-8.5714285714285743E-2</v>
      </c>
      <c r="P236" s="34">
        <f>Rådatakommune[[#This Row],[Kvinner20-39-O]]/Rådatakommune[[#This Row],[B15-O]]</f>
        <v>8.1250000000000003E-2</v>
      </c>
      <c r="Q236" s="34">
        <f>Rådatakommune[[#This Row],[Eldre67+-O]]/Rådatakommune[[#This Row],[B15-O]]</f>
        <v>0.215</v>
      </c>
      <c r="R236" s="34">
        <f>Rådatakommune[[#This Row],[S14-O]]/Rådatakommune[[#This Row],[S04-O]]-1</f>
        <v>5.3050397877985045E-3</v>
      </c>
      <c r="S236" s="34">
        <f>Rådatakommune[[#This Row],[Y14-O]]/Rådatakommune[[#This Row],[Folk20-64-O]]</f>
        <v>0.94</v>
      </c>
    </row>
    <row r="237" spans="1:19" x14ac:dyDescent="0.25">
      <c r="A237" s="2" t="s">
        <v>235</v>
      </c>
      <c r="B237" s="37">
        <v>1526</v>
      </c>
      <c r="C237" s="36">
        <v>1405</v>
      </c>
      <c r="D237" s="33">
        <v>719</v>
      </c>
      <c r="E237" s="38">
        <v>313</v>
      </c>
      <c r="F237" s="39">
        <v>111</v>
      </c>
      <c r="G237">
        <v>746</v>
      </c>
      <c r="H237" s="33">
        <v>614</v>
      </c>
      <c r="I237" s="33">
        <v>762</v>
      </c>
      <c r="J237" s="5">
        <v>258.89999999999998</v>
      </c>
      <c r="K237" s="40">
        <v>361700</v>
      </c>
      <c r="L237" s="45">
        <v>210.9166666667</v>
      </c>
      <c r="M237" s="41">
        <v>11</v>
      </c>
      <c r="N237" s="32">
        <f>Rådatakommune[[#This Row],[B15-O]]/Rådatakommune[[#This Row],[Totalareal2015-O]]</f>
        <v>5.4268057164928551</v>
      </c>
      <c r="O237" s="34">
        <f>Rådatakommune[[#This Row],[B15-O]]/Rådatakommune[[#This Row],[B05-O]]-1</f>
        <v>-7.9292267365661862E-2</v>
      </c>
      <c r="P237" s="34">
        <f>Rådatakommune[[#This Row],[Kvinner20-39-O]]/Rådatakommune[[#This Row],[B15-O]]</f>
        <v>7.9003558718861208E-2</v>
      </c>
      <c r="Q237" s="34">
        <f>Rådatakommune[[#This Row],[Eldre67+-O]]/Rådatakommune[[#This Row],[B15-O]]</f>
        <v>0.22277580071174377</v>
      </c>
      <c r="R237" s="34">
        <f>Rådatakommune[[#This Row],[S14-O]]/Rådatakommune[[#This Row],[S04-O]]-1</f>
        <v>0.24104234527687307</v>
      </c>
      <c r="S237" s="34">
        <f>Rådatakommune[[#This Row],[Y14-O]]/Rådatakommune[[#This Row],[Folk20-64-O]]</f>
        <v>0.96380697050938335</v>
      </c>
    </row>
    <row r="238" spans="1:19" x14ac:dyDescent="0.25">
      <c r="A238" s="2" t="s">
        <v>236</v>
      </c>
      <c r="B238" s="37">
        <v>4502</v>
      </c>
      <c r="C238" s="36">
        <v>4169</v>
      </c>
      <c r="D238" s="33">
        <v>2003</v>
      </c>
      <c r="E238" s="38">
        <v>758</v>
      </c>
      <c r="F238" s="39">
        <v>390</v>
      </c>
      <c r="G238">
        <v>2291</v>
      </c>
      <c r="H238" s="33">
        <v>2204</v>
      </c>
      <c r="I238" s="33">
        <v>1695</v>
      </c>
      <c r="J238" s="5">
        <v>905.41000000000008</v>
      </c>
      <c r="K238" s="40">
        <v>375500</v>
      </c>
      <c r="L238" s="45">
        <v>198.6</v>
      </c>
      <c r="M238" s="41">
        <v>9</v>
      </c>
      <c r="N238" s="32">
        <f>Rådatakommune[[#This Row],[B15-O]]/Rådatakommune[[#This Row],[Totalareal2015-O]]</f>
        <v>4.6045437978374437</v>
      </c>
      <c r="O238" s="34">
        <f>Rådatakommune[[#This Row],[B15-O]]/Rådatakommune[[#This Row],[B05-O]]-1</f>
        <v>-7.3967125721901339E-2</v>
      </c>
      <c r="P238" s="34">
        <f>Rådatakommune[[#This Row],[Kvinner20-39-O]]/Rådatakommune[[#This Row],[B15-O]]</f>
        <v>9.354761333653154E-2</v>
      </c>
      <c r="Q238" s="34">
        <f>Rådatakommune[[#This Row],[Eldre67+-O]]/Rådatakommune[[#This Row],[B15-O]]</f>
        <v>0.18181818181818182</v>
      </c>
      <c r="R238" s="34">
        <f>Rådatakommune[[#This Row],[S14-O]]/Rådatakommune[[#This Row],[S04-O]]-1</f>
        <v>-0.23094373865698725</v>
      </c>
      <c r="S238" s="34">
        <f>Rådatakommune[[#This Row],[Y14-O]]/Rådatakommune[[#This Row],[Folk20-64-O]]</f>
        <v>0.87429070274989085</v>
      </c>
    </row>
    <row r="239" spans="1:19" x14ac:dyDescent="0.25">
      <c r="A239" s="2" t="s">
        <v>237</v>
      </c>
      <c r="B239" s="37">
        <v>2881</v>
      </c>
      <c r="C239" s="36">
        <v>2678</v>
      </c>
      <c r="D239" s="33">
        <v>1425</v>
      </c>
      <c r="E239" s="38">
        <v>585</v>
      </c>
      <c r="F239" s="39">
        <v>254</v>
      </c>
      <c r="G239">
        <v>1405</v>
      </c>
      <c r="H239" s="33">
        <v>1290</v>
      </c>
      <c r="I239" s="33">
        <v>1259</v>
      </c>
      <c r="J239" s="5">
        <v>833.33</v>
      </c>
      <c r="K239" s="40">
        <v>363500</v>
      </c>
      <c r="L239" s="45">
        <v>219.36666666669998</v>
      </c>
      <c r="M239" s="41">
        <v>11</v>
      </c>
      <c r="N239" s="32">
        <f>Rådatakommune[[#This Row],[B15-O]]/Rådatakommune[[#This Row],[Totalareal2015-O]]</f>
        <v>3.2136128544514175</v>
      </c>
      <c r="O239" s="34">
        <f>Rådatakommune[[#This Row],[B15-O]]/Rådatakommune[[#This Row],[B05-O]]-1</f>
        <v>-7.0461645262061778E-2</v>
      </c>
      <c r="P239" s="34">
        <f>Rådatakommune[[#This Row],[Kvinner20-39-O]]/Rådatakommune[[#This Row],[B15-O]]</f>
        <v>9.4846900672143394E-2</v>
      </c>
      <c r="Q239" s="34">
        <f>Rådatakommune[[#This Row],[Eldre67+-O]]/Rådatakommune[[#This Row],[B15-O]]</f>
        <v>0.21844660194174756</v>
      </c>
      <c r="R239" s="34">
        <f>Rådatakommune[[#This Row],[S14-O]]/Rådatakommune[[#This Row],[S04-O]]-1</f>
        <v>-2.4031007751938005E-2</v>
      </c>
      <c r="S239" s="34">
        <f>Rådatakommune[[#This Row],[Y14-O]]/Rådatakommune[[#This Row],[Folk20-64-O]]</f>
        <v>1.0142348754448398</v>
      </c>
    </row>
    <row r="240" spans="1:19" x14ac:dyDescent="0.25">
      <c r="A240" s="2" t="s">
        <v>238</v>
      </c>
      <c r="B240" s="37">
        <v>1431</v>
      </c>
      <c r="C240" s="36">
        <v>1304</v>
      </c>
      <c r="D240" s="33">
        <v>716</v>
      </c>
      <c r="E240" s="38">
        <v>230</v>
      </c>
      <c r="F240" s="39">
        <v>143</v>
      </c>
      <c r="G240">
        <v>744</v>
      </c>
      <c r="H240" s="33">
        <v>597</v>
      </c>
      <c r="I240" s="33">
        <v>571</v>
      </c>
      <c r="J240" s="5">
        <v>429.67</v>
      </c>
      <c r="K240" s="40">
        <v>349900</v>
      </c>
      <c r="L240" s="45">
        <v>208.61666666669998</v>
      </c>
      <c r="M240" s="41">
        <v>9</v>
      </c>
      <c r="N240" s="32">
        <f>Rådatakommune[[#This Row],[B15-O]]/Rådatakommune[[#This Row],[Totalareal2015-O]]</f>
        <v>3.0348872390439174</v>
      </c>
      <c r="O240" s="34">
        <f>Rådatakommune[[#This Row],[B15-O]]/Rådatakommune[[#This Row],[B05-O]]-1</f>
        <v>-8.8749126484975571E-2</v>
      </c>
      <c r="P240" s="34">
        <f>Rådatakommune[[#This Row],[Kvinner20-39-O]]/Rådatakommune[[#This Row],[B15-O]]</f>
        <v>0.10966257668711657</v>
      </c>
      <c r="Q240" s="34">
        <f>Rådatakommune[[#This Row],[Eldre67+-O]]/Rådatakommune[[#This Row],[B15-O]]</f>
        <v>0.17638036809815952</v>
      </c>
      <c r="R240" s="34">
        <f>Rådatakommune[[#This Row],[S14-O]]/Rådatakommune[[#This Row],[S04-O]]-1</f>
        <v>-4.3551088777219471E-2</v>
      </c>
      <c r="S240" s="34">
        <f>Rådatakommune[[#This Row],[Y14-O]]/Rådatakommune[[#This Row],[Folk20-64-O]]</f>
        <v>0.9623655913978495</v>
      </c>
    </row>
    <row r="241" spans="1:19" x14ac:dyDescent="0.25">
      <c r="A241" s="2" t="s">
        <v>239</v>
      </c>
      <c r="B241" s="37">
        <v>2209</v>
      </c>
      <c r="C241" s="36">
        <v>2276</v>
      </c>
      <c r="D241" s="33">
        <v>1206</v>
      </c>
      <c r="E241" s="38">
        <v>373</v>
      </c>
      <c r="F241" s="39">
        <v>264</v>
      </c>
      <c r="G241">
        <v>1253</v>
      </c>
      <c r="H241" s="33">
        <v>1507</v>
      </c>
      <c r="I241" s="33">
        <v>1664</v>
      </c>
      <c r="J241" s="5">
        <v>180.1</v>
      </c>
      <c r="K241" s="40">
        <v>401400</v>
      </c>
      <c r="L241" s="45">
        <v>180.11666666669998</v>
      </c>
      <c r="M241" s="41">
        <v>8</v>
      </c>
      <c r="N241" s="32">
        <f>Rådatakommune[[#This Row],[B15-O]]/Rådatakommune[[#This Row],[Totalareal2015-O]]</f>
        <v>12.63742365352582</v>
      </c>
      <c r="O241" s="34">
        <f>Rådatakommune[[#This Row],[B15-O]]/Rådatakommune[[#This Row],[B05-O]]-1</f>
        <v>3.0330466274332224E-2</v>
      </c>
      <c r="P241" s="34">
        <f>Rådatakommune[[#This Row],[Kvinner20-39-O]]/Rådatakommune[[#This Row],[B15-O]]</f>
        <v>0.11599297012302284</v>
      </c>
      <c r="Q241" s="34">
        <f>Rådatakommune[[#This Row],[Eldre67+-O]]/Rådatakommune[[#This Row],[B15-O]]</f>
        <v>0.16388400702987699</v>
      </c>
      <c r="R241" s="34">
        <f>Rådatakommune[[#This Row],[S14-O]]/Rådatakommune[[#This Row],[S04-O]]-1</f>
        <v>0.10418049104180493</v>
      </c>
      <c r="S241" s="34">
        <f>Rådatakommune[[#This Row],[Y14-O]]/Rådatakommune[[#This Row],[Folk20-64-O]]</f>
        <v>0.96249002394253791</v>
      </c>
    </row>
    <row r="242" spans="1:19" x14ac:dyDescent="0.25">
      <c r="A242" s="2" t="s">
        <v>240</v>
      </c>
      <c r="B242" s="37">
        <v>6794</v>
      </c>
      <c r="C242" s="36">
        <v>7677</v>
      </c>
      <c r="D242" s="33">
        <v>4271</v>
      </c>
      <c r="E242" s="38">
        <v>1064</v>
      </c>
      <c r="F242" s="39">
        <v>1095</v>
      </c>
      <c r="G242">
        <v>4565</v>
      </c>
      <c r="H242" s="33">
        <v>3821</v>
      </c>
      <c r="I242" s="33">
        <v>4555</v>
      </c>
      <c r="J242" s="5">
        <v>745.83</v>
      </c>
      <c r="K242" s="40">
        <v>371000</v>
      </c>
      <c r="L242" s="45">
        <v>163.5833333333</v>
      </c>
      <c r="M242" s="41">
        <v>8</v>
      </c>
      <c r="N242" s="32">
        <f>Rådatakommune[[#This Row],[B15-O]]/Rådatakommune[[#This Row],[Totalareal2015-O]]</f>
        <v>10.293230360806081</v>
      </c>
      <c r="O242" s="34">
        <f>Rådatakommune[[#This Row],[B15-O]]/Rådatakommune[[#This Row],[B05-O]]-1</f>
        <v>0.1299676184869003</v>
      </c>
      <c r="P242" s="34">
        <f>Rådatakommune[[#This Row],[Kvinner20-39-O]]/Rådatakommune[[#This Row],[B15-O]]</f>
        <v>0.14263384134427512</v>
      </c>
      <c r="Q242" s="34">
        <f>Rådatakommune[[#This Row],[Eldre67+-O]]/Rådatakommune[[#This Row],[B15-O]]</f>
        <v>0.13859580565324997</v>
      </c>
      <c r="R242" s="34">
        <f>Rådatakommune[[#This Row],[S14-O]]/Rådatakommune[[#This Row],[S04-O]]-1</f>
        <v>0.19209630986652715</v>
      </c>
      <c r="S242" s="34">
        <f>Rådatakommune[[#This Row],[Y14-O]]/Rådatakommune[[#This Row],[Folk20-64-O]]</f>
        <v>0.93559693318729464</v>
      </c>
    </row>
    <row r="243" spans="1:19" x14ac:dyDescent="0.25">
      <c r="A243" s="2" t="s">
        <v>241</v>
      </c>
      <c r="B243" s="37">
        <v>1783</v>
      </c>
      <c r="C243" s="36">
        <v>1738</v>
      </c>
      <c r="D243" s="33">
        <v>938</v>
      </c>
      <c r="E243" s="38">
        <v>321</v>
      </c>
      <c r="F243" s="39">
        <v>207</v>
      </c>
      <c r="G243">
        <v>1019</v>
      </c>
      <c r="H243" s="33">
        <v>815</v>
      </c>
      <c r="I243" s="33">
        <v>892</v>
      </c>
      <c r="J243" s="5">
        <v>1467.6100000000001</v>
      </c>
      <c r="K243" s="40">
        <v>370500</v>
      </c>
      <c r="L243" s="45">
        <v>204.8166666667</v>
      </c>
      <c r="M243" s="41">
        <v>11</v>
      </c>
      <c r="N243" s="32">
        <f>Rådatakommune[[#This Row],[B15-O]]/Rådatakommune[[#This Row],[Totalareal2015-O]]</f>
        <v>1.1842383194445389</v>
      </c>
      <c r="O243" s="34">
        <f>Rådatakommune[[#This Row],[B15-O]]/Rådatakommune[[#This Row],[B05-O]]-1</f>
        <v>-2.5238362310712303E-2</v>
      </c>
      <c r="P243" s="34">
        <f>Rådatakommune[[#This Row],[Kvinner20-39-O]]/Rådatakommune[[#This Row],[B15-O]]</f>
        <v>0.119102416570771</v>
      </c>
      <c r="Q243" s="34">
        <f>Rådatakommune[[#This Row],[Eldre67+-O]]/Rådatakommune[[#This Row],[B15-O]]</f>
        <v>0.18469505178365939</v>
      </c>
      <c r="R243" s="34">
        <f>Rådatakommune[[#This Row],[S14-O]]/Rådatakommune[[#This Row],[S04-O]]-1</f>
        <v>9.4478527607361862E-2</v>
      </c>
      <c r="S243" s="34">
        <f>Rådatakommune[[#This Row],[Y14-O]]/Rådatakommune[[#This Row],[Folk20-64-O]]</f>
        <v>0.92051030421982338</v>
      </c>
    </row>
    <row r="244" spans="1:19" x14ac:dyDescent="0.25">
      <c r="A244" s="2" t="s">
        <v>242</v>
      </c>
      <c r="B244" s="37">
        <v>2158</v>
      </c>
      <c r="C244" s="36">
        <v>2146</v>
      </c>
      <c r="D244" s="33">
        <v>1145</v>
      </c>
      <c r="E244" s="38">
        <v>381</v>
      </c>
      <c r="F244" s="39">
        <v>199</v>
      </c>
      <c r="G244">
        <v>1197</v>
      </c>
      <c r="H244" s="33">
        <v>1086</v>
      </c>
      <c r="I244" s="33">
        <v>1082</v>
      </c>
      <c r="J244" s="5">
        <v>1342.47</v>
      </c>
      <c r="K244" s="40">
        <v>378900</v>
      </c>
      <c r="L244" s="45">
        <v>179.5</v>
      </c>
      <c r="M244" s="41">
        <v>9</v>
      </c>
      <c r="N244" s="32">
        <f>Rådatakommune[[#This Row],[B15-O]]/Rådatakommune[[#This Row],[Totalareal2015-O]]</f>
        <v>1.5985459637831758</v>
      </c>
      <c r="O244" s="34">
        <f>Rådatakommune[[#This Row],[B15-O]]/Rådatakommune[[#This Row],[B05-O]]-1</f>
        <v>-5.5607043558850711E-3</v>
      </c>
      <c r="P244" s="34">
        <f>Rådatakommune[[#This Row],[Kvinner20-39-O]]/Rådatakommune[[#This Row],[B15-O]]</f>
        <v>9.273066169617894E-2</v>
      </c>
      <c r="Q244" s="34">
        <f>Rådatakommune[[#This Row],[Eldre67+-O]]/Rådatakommune[[#This Row],[B15-O]]</f>
        <v>0.17753960857409135</v>
      </c>
      <c r="R244" s="34">
        <f>Rådatakommune[[#This Row],[S14-O]]/Rådatakommune[[#This Row],[S04-O]]-1</f>
        <v>-3.6832412523020164E-3</v>
      </c>
      <c r="S244" s="34">
        <f>Rådatakommune[[#This Row],[Y14-O]]/Rådatakommune[[#This Row],[Folk20-64-O]]</f>
        <v>0.95655806182121972</v>
      </c>
    </row>
    <row r="245" spans="1:19" x14ac:dyDescent="0.25">
      <c r="A245" s="2" t="s">
        <v>243</v>
      </c>
      <c r="B245" s="37">
        <v>5631</v>
      </c>
      <c r="C245" s="36">
        <v>5429</v>
      </c>
      <c r="D245" s="33">
        <v>2612</v>
      </c>
      <c r="E245" s="38">
        <v>1042</v>
      </c>
      <c r="F245" s="39">
        <v>549</v>
      </c>
      <c r="G245">
        <v>3080</v>
      </c>
      <c r="H245" s="33">
        <v>2935</v>
      </c>
      <c r="I245" s="33">
        <v>2615</v>
      </c>
      <c r="J245" s="5">
        <v>976.54</v>
      </c>
      <c r="K245" s="40">
        <v>384200</v>
      </c>
      <c r="L245" s="45">
        <v>192.23333333330001</v>
      </c>
      <c r="M245" s="41">
        <v>9</v>
      </c>
      <c r="N245" s="32">
        <f>Rådatakommune[[#This Row],[B15-O]]/Rådatakommune[[#This Row],[Totalareal2015-O]]</f>
        <v>5.5594240891310136</v>
      </c>
      <c r="O245" s="34">
        <f>Rådatakommune[[#This Row],[B15-O]]/Rådatakommune[[#This Row],[B05-O]]-1</f>
        <v>-3.5872846741253794E-2</v>
      </c>
      <c r="P245" s="34">
        <f>Rådatakommune[[#This Row],[Kvinner20-39-O]]/Rådatakommune[[#This Row],[B15-O]]</f>
        <v>0.10112359550561797</v>
      </c>
      <c r="Q245" s="34">
        <f>Rådatakommune[[#This Row],[Eldre67+-O]]/Rådatakommune[[#This Row],[B15-O]]</f>
        <v>0.19193221587769388</v>
      </c>
      <c r="R245" s="34">
        <f>Rådatakommune[[#This Row],[S14-O]]/Rådatakommune[[#This Row],[S04-O]]-1</f>
        <v>-0.10902896081771718</v>
      </c>
      <c r="S245" s="34">
        <f>Rådatakommune[[#This Row],[Y14-O]]/Rådatakommune[[#This Row],[Folk20-64-O]]</f>
        <v>0.84805194805194806</v>
      </c>
    </row>
    <row r="246" spans="1:19" x14ac:dyDescent="0.25">
      <c r="A246" s="2" t="s">
        <v>244</v>
      </c>
      <c r="B246" s="37">
        <v>4927</v>
      </c>
      <c r="C246" s="36">
        <v>5118</v>
      </c>
      <c r="D246" s="33">
        <v>2739</v>
      </c>
      <c r="E246" s="38">
        <v>888</v>
      </c>
      <c r="F246" s="39">
        <v>574</v>
      </c>
      <c r="G246">
        <v>2792</v>
      </c>
      <c r="H246" s="33">
        <v>1882</v>
      </c>
      <c r="I246" s="33">
        <v>2066</v>
      </c>
      <c r="J246" s="5">
        <v>2706.22</v>
      </c>
      <c r="K246" s="40">
        <v>353600</v>
      </c>
      <c r="L246" s="45">
        <v>183.9</v>
      </c>
      <c r="M246" s="41">
        <v>8</v>
      </c>
      <c r="N246" s="32">
        <f>Rådatakommune[[#This Row],[B15-O]]/Rådatakommune[[#This Row],[Totalareal2015-O]]</f>
        <v>1.8911987938896322</v>
      </c>
      <c r="O246" s="34">
        <f>Rådatakommune[[#This Row],[B15-O]]/Rådatakommune[[#This Row],[B05-O]]-1</f>
        <v>3.8765983357012423E-2</v>
      </c>
      <c r="P246" s="34">
        <f>Rådatakommune[[#This Row],[Kvinner20-39-O]]/Rådatakommune[[#This Row],[B15-O]]</f>
        <v>0.11215318483782728</v>
      </c>
      <c r="Q246" s="34">
        <f>Rådatakommune[[#This Row],[Eldre67+-O]]/Rådatakommune[[#This Row],[B15-O]]</f>
        <v>0.17350527549824149</v>
      </c>
      <c r="R246" s="34">
        <f>Rådatakommune[[#This Row],[S14-O]]/Rådatakommune[[#This Row],[S04-O]]-1</f>
        <v>9.7768331562167798E-2</v>
      </c>
      <c r="S246" s="34">
        <f>Rådatakommune[[#This Row],[Y14-O]]/Rådatakommune[[#This Row],[Folk20-64-O]]</f>
        <v>0.98101719197707737</v>
      </c>
    </row>
    <row r="247" spans="1:19" x14ac:dyDescent="0.25">
      <c r="A247" s="2" t="s">
        <v>245</v>
      </c>
      <c r="B247" s="37">
        <v>3229</v>
      </c>
      <c r="C247" s="36">
        <v>3008</v>
      </c>
      <c r="D247" s="33">
        <v>1465</v>
      </c>
      <c r="E247" s="38">
        <v>665</v>
      </c>
      <c r="F247" s="39">
        <v>281</v>
      </c>
      <c r="G247">
        <v>1571</v>
      </c>
      <c r="H247" s="33">
        <v>1129</v>
      </c>
      <c r="I247" s="33">
        <v>1060</v>
      </c>
      <c r="J247" s="5">
        <v>326.17</v>
      </c>
      <c r="K247" s="40">
        <v>358700</v>
      </c>
      <c r="L247" s="45">
        <v>196.4</v>
      </c>
      <c r="M247" s="41">
        <v>8</v>
      </c>
      <c r="N247" s="32">
        <f>Rådatakommune[[#This Row],[B15-O]]/Rådatakommune[[#This Row],[Totalareal2015-O]]</f>
        <v>9.2221847502835939</v>
      </c>
      <c r="O247" s="34">
        <f>Rådatakommune[[#This Row],[B15-O]]/Rådatakommune[[#This Row],[B05-O]]-1</f>
        <v>-6.844224218024153E-2</v>
      </c>
      <c r="P247" s="34">
        <f>Rådatakommune[[#This Row],[Kvinner20-39-O]]/Rådatakommune[[#This Row],[B15-O]]</f>
        <v>9.3417553191489366E-2</v>
      </c>
      <c r="Q247" s="34">
        <f>Rådatakommune[[#This Row],[Eldre67+-O]]/Rådatakommune[[#This Row],[B15-O]]</f>
        <v>0.22107712765957446</v>
      </c>
      <c r="R247" s="34">
        <f>Rådatakommune[[#This Row],[S14-O]]/Rådatakommune[[#This Row],[S04-O]]-1</f>
        <v>-6.1116031886625288E-2</v>
      </c>
      <c r="S247" s="34">
        <f>Rådatakommune[[#This Row],[Y14-O]]/Rådatakommune[[#This Row],[Folk20-64-O]]</f>
        <v>0.93252705283259074</v>
      </c>
    </row>
    <row r="248" spans="1:19" x14ac:dyDescent="0.25">
      <c r="A248" s="2" t="s">
        <v>246</v>
      </c>
      <c r="B248" s="37">
        <v>2916</v>
      </c>
      <c r="C248" s="36">
        <v>2823</v>
      </c>
      <c r="D248" s="33">
        <v>1356</v>
      </c>
      <c r="E248" s="38">
        <v>527</v>
      </c>
      <c r="F248" s="39">
        <v>297</v>
      </c>
      <c r="G248">
        <v>1455</v>
      </c>
      <c r="H248" s="33">
        <v>1200</v>
      </c>
      <c r="I248" s="33">
        <v>1260</v>
      </c>
      <c r="J248" s="5">
        <v>416.51</v>
      </c>
      <c r="K248" s="40">
        <v>330600</v>
      </c>
      <c r="L248" s="45">
        <v>179.05</v>
      </c>
      <c r="M248" s="41">
        <v>6</v>
      </c>
      <c r="N248" s="32">
        <f>Rådatakommune[[#This Row],[B15-O]]/Rådatakommune[[#This Row],[Totalareal2015-O]]</f>
        <v>6.777748433410963</v>
      </c>
      <c r="O248" s="34">
        <f>Rådatakommune[[#This Row],[B15-O]]/Rådatakommune[[#This Row],[B05-O]]-1</f>
        <v>-3.1893004115226331E-2</v>
      </c>
      <c r="P248" s="34">
        <f>Rådatakommune[[#This Row],[Kvinner20-39-O]]/Rådatakommune[[#This Row],[B15-O]]</f>
        <v>0.10520722635494155</v>
      </c>
      <c r="Q248" s="34">
        <f>Rådatakommune[[#This Row],[Eldre67+-O]]/Rådatakommune[[#This Row],[B15-O]]</f>
        <v>0.18668083599008148</v>
      </c>
      <c r="R248" s="34">
        <f>Rådatakommune[[#This Row],[S14-O]]/Rådatakommune[[#This Row],[S04-O]]-1</f>
        <v>5.0000000000000044E-2</v>
      </c>
      <c r="S248" s="34">
        <f>Rådatakommune[[#This Row],[Y14-O]]/Rådatakommune[[#This Row],[Folk20-64-O]]</f>
        <v>0.93195876288659796</v>
      </c>
    </row>
    <row r="249" spans="1:19" x14ac:dyDescent="0.25">
      <c r="A249" s="2" t="s">
        <v>247</v>
      </c>
      <c r="B249" s="37">
        <v>2749</v>
      </c>
      <c r="C249" s="36">
        <v>2960</v>
      </c>
      <c r="D249" s="33">
        <v>1586</v>
      </c>
      <c r="E249" s="38">
        <v>466</v>
      </c>
      <c r="F249" s="39">
        <v>332</v>
      </c>
      <c r="G249">
        <v>1623</v>
      </c>
      <c r="H249" s="33">
        <v>973</v>
      </c>
      <c r="I249" s="33">
        <v>1009</v>
      </c>
      <c r="J249" s="5">
        <v>581.82000000000005</v>
      </c>
      <c r="K249" s="40">
        <v>369500</v>
      </c>
      <c r="L249" s="45">
        <v>167.6</v>
      </c>
      <c r="M249" s="41">
        <v>6</v>
      </c>
      <c r="N249" s="32">
        <f>Rådatakommune[[#This Row],[B15-O]]/Rådatakommune[[#This Row],[Totalareal2015-O]]</f>
        <v>5.0874841016121817</v>
      </c>
      <c r="O249" s="34">
        <f>Rådatakommune[[#This Row],[B15-O]]/Rådatakommune[[#This Row],[B05-O]]-1</f>
        <v>7.6755183703164809E-2</v>
      </c>
      <c r="P249" s="34">
        <f>Rådatakommune[[#This Row],[Kvinner20-39-O]]/Rådatakommune[[#This Row],[B15-O]]</f>
        <v>0.11216216216216217</v>
      </c>
      <c r="Q249" s="34">
        <f>Rådatakommune[[#This Row],[Eldre67+-O]]/Rådatakommune[[#This Row],[B15-O]]</f>
        <v>0.15743243243243243</v>
      </c>
      <c r="R249" s="34">
        <f>Rådatakommune[[#This Row],[S14-O]]/Rådatakommune[[#This Row],[S04-O]]-1</f>
        <v>3.6998972250770867E-2</v>
      </c>
      <c r="S249" s="34">
        <f>Rådatakommune[[#This Row],[Y14-O]]/Rådatakommune[[#This Row],[Folk20-64-O]]</f>
        <v>0.97720271102895873</v>
      </c>
    </row>
    <row r="250" spans="1:19" x14ac:dyDescent="0.25">
      <c r="A250" s="2" t="s">
        <v>248</v>
      </c>
      <c r="B250" s="37">
        <v>2918</v>
      </c>
      <c r="C250" s="36">
        <v>3026</v>
      </c>
      <c r="D250" s="33">
        <v>1587</v>
      </c>
      <c r="E250" s="38">
        <v>471</v>
      </c>
      <c r="F250" s="39">
        <v>332</v>
      </c>
      <c r="G250">
        <v>1668</v>
      </c>
      <c r="H250" s="33">
        <v>1012</v>
      </c>
      <c r="I250" s="33">
        <v>1009</v>
      </c>
      <c r="J250" s="5">
        <v>670.86</v>
      </c>
      <c r="K250" s="40">
        <v>365300</v>
      </c>
      <c r="L250" s="45">
        <v>193.46666666670001</v>
      </c>
      <c r="M250" s="41">
        <v>6</v>
      </c>
      <c r="N250" s="32">
        <f>Rådatakommune[[#This Row],[B15-O]]/Rådatakommune[[#This Row],[Totalareal2015-O]]</f>
        <v>4.5106281489431472</v>
      </c>
      <c r="O250" s="34">
        <f>Rådatakommune[[#This Row],[B15-O]]/Rådatakommune[[#This Row],[B05-O]]-1</f>
        <v>3.7011651816312607E-2</v>
      </c>
      <c r="P250" s="34">
        <f>Rådatakommune[[#This Row],[Kvinner20-39-O]]/Rådatakommune[[#This Row],[B15-O]]</f>
        <v>0.10971579643093192</v>
      </c>
      <c r="Q250" s="34">
        <f>Rådatakommune[[#This Row],[Eldre67+-O]]/Rådatakommune[[#This Row],[B15-O]]</f>
        <v>0.1556510244547257</v>
      </c>
      <c r="R250" s="34">
        <f>Rådatakommune[[#This Row],[S14-O]]/Rådatakommune[[#This Row],[S04-O]]-1</f>
        <v>-2.9644268774703386E-3</v>
      </c>
      <c r="S250" s="34">
        <f>Rådatakommune[[#This Row],[Y14-O]]/Rådatakommune[[#This Row],[Folk20-64-O]]</f>
        <v>0.95143884892086328</v>
      </c>
    </row>
    <row r="251" spans="1:19" x14ac:dyDescent="0.25">
      <c r="A251" s="2" t="s">
        <v>249</v>
      </c>
      <c r="B251" s="37">
        <v>11151</v>
      </c>
      <c r="C251" s="36">
        <v>12801</v>
      </c>
      <c r="D251" s="33">
        <v>7251</v>
      </c>
      <c r="E251" s="38">
        <v>1331</v>
      </c>
      <c r="F251" s="39">
        <v>1706</v>
      </c>
      <c r="G251">
        <v>7652</v>
      </c>
      <c r="H251" s="33">
        <v>7840</v>
      </c>
      <c r="I251" s="33">
        <v>9436</v>
      </c>
      <c r="J251" s="5">
        <v>585.63</v>
      </c>
      <c r="K251" s="40">
        <v>411100</v>
      </c>
      <c r="L251" s="45">
        <v>169.38333333330002</v>
      </c>
      <c r="M251" s="41">
        <v>6</v>
      </c>
      <c r="N251" s="32">
        <f>Rådatakommune[[#This Row],[B15-O]]/Rådatakommune[[#This Row],[Totalareal2015-O]]</f>
        <v>21.858511346754778</v>
      </c>
      <c r="O251" s="34">
        <f>Rådatakommune[[#This Row],[B15-O]]/Rådatakommune[[#This Row],[B05-O]]-1</f>
        <v>0.14796879203658864</v>
      </c>
      <c r="P251" s="34">
        <f>Rådatakommune[[#This Row],[Kvinner20-39-O]]/Rådatakommune[[#This Row],[B15-O]]</f>
        <v>0.13327083821576438</v>
      </c>
      <c r="Q251" s="34">
        <f>Rådatakommune[[#This Row],[Eldre67+-O]]/Rådatakommune[[#This Row],[B15-O]]</f>
        <v>0.1039762518553238</v>
      </c>
      <c r="R251" s="34">
        <f>Rådatakommune[[#This Row],[S14-O]]/Rådatakommune[[#This Row],[S04-O]]-1</f>
        <v>0.20357142857142851</v>
      </c>
      <c r="S251" s="34">
        <f>Rådatakommune[[#This Row],[Y14-O]]/Rådatakommune[[#This Row],[Folk20-64-O]]</f>
        <v>0.94759539989545216</v>
      </c>
    </row>
    <row r="252" spans="1:19" x14ac:dyDescent="0.25">
      <c r="A252" s="2" t="s">
        <v>250</v>
      </c>
      <c r="B252" s="37">
        <v>2682</v>
      </c>
      <c r="C252" s="36">
        <v>2777</v>
      </c>
      <c r="D252" s="33">
        <v>1489</v>
      </c>
      <c r="E252" s="38">
        <v>447</v>
      </c>
      <c r="F252" s="39">
        <v>314</v>
      </c>
      <c r="G252">
        <v>1545</v>
      </c>
      <c r="H252" s="33">
        <v>668</v>
      </c>
      <c r="I252" s="33">
        <v>659</v>
      </c>
      <c r="J252" s="5">
        <v>369.29</v>
      </c>
      <c r="K252" s="40">
        <v>379400</v>
      </c>
      <c r="L252" s="45">
        <v>179.63333333330002</v>
      </c>
      <c r="M252" s="41">
        <v>6</v>
      </c>
      <c r="N252" s="32">
        <f>Rådatakommune[[#This Row],[B15-O]]/Rådatakommune[[#This Row],[Totalareal2015-O]]</f>
        <v>7.5198353597443743</v>
      </c>
      <c r="O252" s="34">
        <f>Rådatakommune[[#This Row],[B15-O]]/Rådatakommune[[#This Row],[B05-O]]-1</f>
        <v>3.5421327367636035E-2</v>
      </c>
      <c r="P252" s="34">
        <f>Rådatakommune[[#This Row],[Kvinner20-39-O]]/Rådatakommune[[#This Row],[B15-O]]</f>
        <v>0.11307166006481816</v>
      </c>
      <c r="Q252" s="34">
        <f>Rådatakommune[[#This Row],[Eldre67+-O]]/Rådatakommune[[#This Row],[B15-O]]</f>
        <v>0.1609650702196615</v>
      </c>
      <c r="R252" s="34">
        <f>Rådatakommune[[#This Row],[S14-O]]/Rådatakommune[[#This Row],[S04-O]]-1</f>
        <v>-1.3473053892215536E-2</v>
      </c>
      <c r="S252" s="34">
        <f>Rådatakommune[[#This Row],[Y14-O]]/Rådatakommune[[#This Row],[Folk20-64-O]]</f>
        <v>0.96375404530744335</v>
      </c>
    </row>
    <row r="253" spans="1:19" x14ac:dyDescent="0.25">
      <c r="A253" s="2" t="s">
        <v>251</v>
      </c>
      <c r="B253" s="37">
        <v>4031</v>
      </c>
      <c r="C253" s="36">
        <v>3890</v>
      </c>
      <c r="D253" s="33">
        <v>1837</v>
      </c>
      <c r="E253" s="38">
        <v>821</v>
      </c>
      <c r="F253" s="39">
        <v>357</v>
      </c>
      <c r="G253">
        <v>2017</v>
      </c>
      <c r="H253" s="33">
        <v>1621</v>
      </c>
      <c r="I253" s="33">
        <v>1604</v>
      </c>
      <c r="J253" s="5">
        <v>832.28</v>
      </c>
      <c r="K253" s="40">
        <v>347400</v>
      </c>
      <c r="L253" s="45">
        <v>214.5666666667</v>
      </c>
      <c r="M253" s="41">
        <v>11</v>
      </c>
      <c r="N253" s="32">
        <f>Rådatakommune[[#This Row],[B15-O]]/Rådatakommune[[#This Row],[Totalareal2015-O]]</f>
        <v>4.6739078194838273</v>
      </c>
      <c r="O253" s="34">
        <f>Rådatakommune[[#This Row],[B15-O]]/Rådatakommune[[#This Row],[B05-O]]-1</f>
        <v>-3.4978913420987356E-2</v>
      </c>
      <c r="P253" s="34">
        <f>Rådatakommune[[#This Row],[Kvinner20-39-O]]/Rådatakommune[[#This Row],[B15-O]]</f>
        <v>9.1773778920308482E-2</v>
      </c>
      <c r="Q253" s="34">
        <f>Rådatakommune[[#This Row],[Eldre67+-O]]/Rådatakommune[[#This Row],[B15-O]]</f>
        <v>0.21105398457583546</v>
      </c>
      <c r="R253" s="34">
        <f>Rådatakommune[[#This Row],[S14-O]]/Rådatakommune[[#This Row],[S04-O]]-1</f>
        <v>-1.0487353485502782E-2</v>
      </c>
      <c r="S253" s="34">
        <f>Rådatakommune[[#This Row],[Y14-O]]/Rådatakommune[[#This Row],[Folk20-64-O]]</f>
        <v>0.91075855230540403</v>
      </c>
    </row>
    <row r="254" spans="1:19" x14ac:dyDescent="0.25">
      <c r="A254" s="2" t="s">
        <v>252</v>
      </c>
      <c r="B254" s="37">
        <v>6218</v>
      </c>
      <c r="C254" s="36">
        <v>6082</v>
      </c>
      <c r="D254" s="33">
        <v>3021</v>
      </c>
      <c r="E254" s="38">
        <v>1051</v>
      </c>
      <c r="F254" s="39">
        <v>616</v>
      </c>
      <c r="G254">
        <v>3380</v>
      </c>
      <c r="H254" s="33">
        <v>2988</v>
      </c>
      <c r="I254" s="33">
        <v>2973</v>
      </c>
      <c r="J254" s="5">
        <v>176.66</v>
      </c>
      <c r="K254" s="40">
        <v>375800</v>
      </c>
      <c r="L254" s="45">
        <v>218.63333333330002</v>
      </c>
      <c r="M254" s="41">
        <v>9</v>
      </c>
      <c r="N254" s="32">
        <f>Rådatakommune[[#This Row],[B15-O]]/Rådatakommune[[#This Row],[Totalareal2015-O]]</f>
        <v>34.427714253368052</v>
      </c>
      <c r="O254" s="34">
        <f>Rådatakommune[[#This Row],[B15-O]]/Rådatakommune[[#This Row],[B05-O]]-1</f>
        <v>-2.1871984560952074E-2</v>
      </c>
      <c r="P254" s="34">
        <f>Rådatakommune[[#This Row],[Kvinner20-39-O]]/Rådatakommune[[#This Row],[B15-O]]</f>
        <v>0.10128247287076619</v>
      </c>
      <c r="Q254" s="34">
        <f>Rådatakommune[[#This Row],[Eldre67+-O]]/Rådatakommune[[#This Row],[B15-O]]</f>
        <v>0.17280499835580401</v>
      </c>
      <c r="R254" s="34">
        <f>Rådatakommune[[#This Row],[S14-O]]/Rådatakommune[[#This Row],[S04-O]]-1</f>
        <v>-5.020080321285092E-3</v>
      </c>
      <c r="S254" s="34">
        <f>Rådatakommune[[#This Row],[Y14-O]]/Rådatakommune[[#This Row],[Folk20-64-O]]</f>
        <v>0.89378698224852071</v>
      </c>
    </row>
    <row r="255" spans="1:19" x14ac:dyDescent="0.25">
      <c r="A255" s="2" t="s">
        <v>253</v>
      </c>
      <c r="B255" s="37">
        <v>2999</v>
      </c>
      <c r="C255" s="36">
        <v>2752</v>
      </c>
      <c r="D255" s="33">
        <v>1451</v>
      </c>
      <c r="E255" s="38">
        <v>509</v>
      </c>
      <c r="F255" s="39">
        <v>271</v>
      </c>
      <c r="G255">
        <v>1513</v>
      </c>
      <c r="H255" s="33">
        <v>1118</v>
      </c>
      <c r="I255" s="33">
        <v>1193</v>
      </c>
      <c r="J255" s="5">
        <v>226.12</v>
      </c>
      <c r="K255" s="40">
        <v>366200</v>
      </c>
      <c r="L255" s="45">
        <v>224.96666666670001</v>
      </c>
      <c r="M255" s="41">
        <v>9</v>
      </c>
      <c r="N255" s="32">
        <f>Rådatakommune[[#This Row],[B15-O]]/Rådatakommune[[#This Row],[Totalareal2015-O]]</f>
        <v>12.170528922695913</v>
      </c>
      <c r="O255" s="34">
        <f>Rådatakommune[[#This Row],[B15-O]]/Rådatakommune[[#This Row],[B05-O]]-1</f>
        <v>-8.2360786928976304E-2</v>
      </c>
      <c r="P255" s="34">
        <f>Rådatakommune[[#This Row],[Kvinner20-39-O]]/Rådatakommune[[#This Row],[B15-O]]</f>
        <v>9.847383720930232E-2</v>
      </c>
      <c r="Q255" s="34">
        <f>Rådatakommune[[#This Row],[Eldre67+-O]]/Rådatakommune[[#This Row],[B15-O]]</f>
        <v>0.1849563953488372</v>
      </c>
      <c r="R255" s="34">
        <f>Rådatakommune[[#This Row],[S14-O]]/Rådatakommune[[#This Row],[S04-O]]-1</f>
        <v>6.708407871198574E-2</v>
      </c>
      <c r="S255" s="34">
        <f>Rådatakommune[[#This Row],[Y14-O]]/Rådatakommune[[#This Row],[Folk20-64-O]]</f>
        <v>0.95902181097157968</v>
      </c>
    </row>
    <row r="256" spans="1:19" x14ac:dyDescent="0.25">
      <c r="A256" s="2" t="s">
        <v>254</v>
      </c>
      <c r="B256" s="37">
        <v>5766</v>
      </c>
      <c r="C256" s="36">
        <v>5987</v>
      </c>
      <c r="D256" s="33">
        <v>3143</v>
      </c>
      <c r="E256" s="38">
        <v>916</v>
      </c>
      <c r="F256" s="39">
        <v>664</v>
      </c>
      <c r="G256">
        <v>3324</v>
      </c>
      <c r="H256" s="33">
        <v>2655</v>
      </c>
      <c r="I256" s="33">
        <v>2874</v>
      </c>
      <c r="J256" s="5">
        <v>469.21999999999997</v>
      </c>
      <c r="K256" s="40">
        <v>375400</v>
      </c>
      <c r="L256" s="45">
        <v>174.35</v>
      </c>
      <c r="M256" s="41">
        <v>8</v>
      </c>
      <c r="N256" s="32">
        <f>Rådatakommune[[#This Row],[B15-O]]/Rådatakommune[[#This Row],[Totalareal2015-O]]</f>
        <v>12.759473168236649</v>
      </c>
      <c r="O256" s="34">
        <f>Rådatakommune[[#This Row],[B15-O]]/Rådatakommune[[#This Row],[B05-O]]-1</f>
        <v>3.8328130419701623E-2</v>
      </c>
      <c r="P256" s="34">
        <f>Rådatakommune[[#This Row],[Kvinner20-39-O]]/Rådatakommune[[#This Row],[B15-O]]</f>
        <v>0.11090696509103057</v>
      </c>
      <c r="Q256" s="34">
        <f>Rådatakommune[[#This Row],[Eldre67+-O]]/Rådatakommune[[#This Row],[B15-O]]</f>
        <v>0.15299816268581928</v>
      </c>
      <c r="R256" s="34">
        <f>Rådatakommune[[#This Row],[S14-O]]/Rådatakommune[[#This Row],[S04-O]]-1</f>
        <v>8.2485875706214795E-2</v>
      </c>
      <c r="S256" s="34">
        <f>Rådatakommune[[#This Row],[Y14-O]]/Rådatakommune[[#This Row],[Folk20-64-O]]</f>
        <v>0.94554753309265949</v>
      </c>
    </row>
    <row r="257" spans="1:19" x14ac:dyDescent="0.25">
      <c r="A257" s="2" t="s">
        <v>255</v>
      </c>
      <c r="B257" s="37">
        <v>1197</v>
      </c>
      <c r="C257" s="36">
        <v>1221</v>
      </c>
      <c r="D257" s="33">
        <v>613</v>
      </c>
      <c r="E257" s="38">
        <v>218</v>
      </c>
      <c r="F257" s="39">
        <v>142</v>
      </c>
      <c r="G257">
        <v>667</v>
      </c>
      <c r="H257" s="33">
        <v>490</v>
      </c>
      <c r="I257" s="33">
        <v>399</v>
      </c>
      <c r="J257" s="5">
        <v>191.6</v>
      </c>
      <c r="K257" s="40">
        <v>345300</v>
      </c>
      <c r="L257" s="45">
        <v>193.63333333330002</v>
      </c>
      <c r="M257" s="41">
        <v>8</v>
      </c>
      <c r="N257" s="32">
        <f>Rådatakommune[[#This Row],[B15-O]]/Rådatakommune[[#This Row],[Totalareal2015-O]]</f>
        <v>6.3726513569937371</v>
      </c>
      <c r="O257" s="34">
        <f>Rådatakommune[[#This Row],[B15-O]]/Rådatakommune[[#This Row],[B05-O]]-1</f>
        <v>2.0050125313283207E-2</v>
      </c>
      <c r="P257" s="34">
        <f>Rådatakommune[[#This Row],[Kvinner20-39-O]]/Rådatakommune[[#This Row],[B15-O]]</f>
        <v>0.1162981162981163</v>
      </c>
      <c r="Q257" s="34">
        <f>Rådatakommune[[#This Row],[Eldre67+-O]]/Rådatakommune[[#This Row],[B15-O]]</f>
        <v>0.17854217854217855</v>
      </c>
      <c r="R257" s="34">
        <f>Rådatakommune[[#This Row],[S14-O]]/Rådatakommune[[#This Row],[S04-O]]-1</f>
        <v>-0.18571428571428572</v>
      </c>
      <c r="S257" s="34">
        <f>Rådatakommune[[#This Row],[Y14-O]]/Rådatakommune[[#This Row],[Folk20-64-O]]</f>
        <v>0.91904047976011993</v>
      </c>
    </row>
    <row r="258" spans="1:19" x14ac:dyDescent="0.25">
      <c r="A258" s="2" t="s">
        <v>256</v>
      </c>
      <c r="B258" s="37">
        <v>5793</v>
      </c>
      <c r="C258" s="36">
        <v>5751</v>
      </c>
      <c r="D258" s="33">
        <v>3085</v>
      </c>
      <c r="E258" s="38">
        <v>1029</v>
      </c>
      <c r="F258" s="39">
        <v>601</v>
      </c>
      <c r="G258">
        <v>3082</v>
      </c>
      <c r="H258" s="33">
        <v>2740</v>
      </c>
      <c r="I258" s="33">
        <v>2833</v>
      </c>
      <c r="J258" s="5">
        <v>1031</v>
      </c>
      <c r="K258" s="40">
        <v>365400</v>
      </c>
      <c r="L258" s="45">
        <v>165.96666666666999</v>
      </c>
      <c r="M258" s="41">
        <v>9</v>
      </c>
      <c r="N258" s="32">
        <f>Rådatakommune[[#This Row],[B15-O]]/Rådatakommune[[#This Row],[Totalareal2015-O]]</f>
        <v>5.5780795344325895</v>
      </c>
      <c r="O258" s="34">
        <f>Rådatakommune[[#This Row],[B15-O]]/Rådatakommune[[#This Row],[B05-O]]-1</f>
        <v>-7.2501294665976435E-3</v>
      </c>
      <c r="P258" s="34">
        <f>Rådatakommune[[#This Row],[Kvinner20-39-O]]/Rådatakommune[[#This Row],[B15-O]]</f>
        <v>0.10450356459746131</v>
      </c>
      <c r="Q258" s="34">
        <f>Rådatakommune[[#This Row],[Eldre67+-O]]/Rådatakommune[[#This Row],[B15-O]]</f>
        <v>0.17892540427751696</v>
      </c>
      <c r="R258" s="34">
        <f>Rådatakommune[[#This Row],[S14-O]]/Rådatakommune[[#This Row],[S04-O]]-1</f>
        <v>3.3941605839415967E-2</v>
      </c>
      <c r="S258" s="34">
        <f>Rådatakommune[[#This Row],[Y14-O]]/Rådatakommune[[#This Row],[Folk20-64-O]]</f>
        <v>1.0009733939000649</v>
      </c>
    </row>
    <row r="259" spans="1:19" x14ac:dyDescent="0.25">
      <c r="A259" s="2" t="s">
        <v>257</v>
      </c>
      <c r="B259" s="37">
        <v>6843</v>
      </c>
      <c r="C259" s="36">
        <v>7155</v>
      </c>
      <c r="D259" s="33">
        <v>3842</v>
      </c>
      <c r="E259" s="38">
        <v>1139</v>
      </c>
      <c r="F259" s="39">
        <v>756</v>
      </c>
      <c r="G259">
        <v>4005</v>
      </c>
      <c r="H259" s="33">
        <v>3770</v>
      </c>
      <c r="I259" s="33">
        <v>3838</v>
      </c>
      <c r="J259" s="5">
        <v>1377.19</v>
      </c>
      <c r="K259" s="40">
        <v>360100</v>
      </c>
      <c r="L259" s="45">
        <v>202.6</v>
      </c>
      <c r="M259" s="41">
        <v>8</v>
      </c>
      <c r="N259" s="32">
        <f>Rådatakommune[[#This Row],[B15-O]]/Rådatakommune[[#This Row],[Totalareal2015-O]]</f>
        <v>5.1953615695728255</v>
      </c>
      <c r="O259" s="34">
        <f>Rådatakommune[[#This Row],[B15-O]]/Rådatakommune[[#This Row],[B05-O]]-1</f>
        <v>4.5594037702761936E-2</v>
      </c>
      <c r="P259" s="34">
        <f>Rådatakommune[[#This Row],[Kvinner20-39-O]]/Rådatakommune[[#This Row],[B15-O]]</f>
        <v>0.10566037735849057</v>
      </c>
      <c r="Q259" s="34">
        <f>Rådatakommune[[#This Row],[Eldre67+-O]]/Rådatakommune[[#This Row],[B15-O]]</f>
        <v>0.15918937805730257</v>
      </c>
      <c r="R259" s="34">
        <f>Rådatakommune[[#This Row],[S14-O]]/Rådatakommune[[#This Row],[S04-O]]-1</f>
        <v>1.8037135278514693E-2</v>
      </c>
      <c r="S259" s="34">
        <f>Rådatakommune[[#This Row],[Y14-O]]/Rådatakommune[[#This Row],[Folk20-64-O]]</f>
        <v>0.95930087390761543</v>
      </c>
    </row>
    <row r="260" spans="1:19" x14ac:dyDescent="0.25">
      <c r="A260" s="2" t="s">
        <v>258</v>
      </c>
      <c r="B260" s="37">
        <v>24124</v>
      </c>
      <c r="C260" s="36">
        <v>26392</v>
      </c>
      <c r="D260" s="33">
        <v>14008</v>
      </c>
      <c r="E260" s="38">
        <v>3969</v>
      </c>
      <c r="F260" s="39">
        <v>3272</v>
      </c>
      <c r="G260">
        <v>15455</v>
      </c>
      <c r="H260" s="33">
        <v>14710</v>
      </c>
      <c r="I260" s="33">
        <v>17790</v>
      </c>
      <c r="J260" s="5">
        <v>362.66</v>
      </c>
      <c r="K260" s="40">
        <v>411800</v>
      </c>
      <c r="L260" s="45">
        <v>156.03333333333001</v>
      </c>
      <c r="M260" s="41">
        <v>4</v>
      </c>
      <c r="N260" s="32">
        <f>Rådatakommune[[#This Row],[B15-O]]/Rådatakommune[[#This Row],[Totalareal2015-O]]</f>
        <v>72.773396569789881</v>
      </c>
      <c r="O260" s="34">
        <f>Rådatakommune[[#This Row],[B15-O]]/Rådatakommune[[#This Row],[B05-O]]-1</f>
        <v>9.4014259658431465E-2</v>
      </c>
      <c r="P260" s="34">
        <f>Rådatakommune[[#This Row],[Kvinner20-39-O]]/Rådatakommune[[#This Row],[B15-O]]</f>
        <v>0.12397696271597454</v>
      </c>
      <c r="Q260" s="34">
        <f>Rådatakommune[[#This Row],[Eldre67+-O]]/Rådatakommune[[#This Row],[B15-O]]</f>
        <v>0.15038648075174296</v>
      </c>
      <c r="R260" s="34">
        <f>Rådatakommune[[#This Row],[S14-O]]/Rådatakommune[[#This Row],[S04-O]]-1</f>
        <v>0.20938137321549966</v>
      </c>
      <c r="S260" s="34">
        <f>Rådatakommune[[#This Row],[Y14-O]]/Rådatakommune[[#This Row],[Folk20-64-O]]</f>
        <v>0.90637334196053054</v>
      </c>
    </row>
    <row r="261" spans="1:19" x14ac:dyDescent="0.25">
      <c r="A261" s="2" t="s">
        <v>259</v>
      </c>
      <c r="B261" s="37">
        <v>40295</v>
      </c>
      <c r="C261" s="36">
        <v>46316</v>
      </c>
      <c r="D261" s="33">
        <v>24808</v>
      </c>
      <c r="E261" s="38">
        <v>6183</v>
      </c>
      <c r="F261" s="39">
        <v>6144</v>
      </c>
      <c r="G261">
        <v>27895</v>
      </c>
      <c r="H261" s="33">
        <v>23457</v>
      </c>
      <c r="I261" s="33">
        <v>28389</v>
      </c>
      <c r="J261" s="5">
        <v>98.62</v>
      </c>
      <c r="K261" s="40">
        <v>415900</v>
      </c>
      <c r="L261" s="45">
        <v>169.5</v>
      </c>
      <c r="M261" s="41">
        <v>4</v>
      </c>
      <c r="N261" s="32">
        <f>Rådatakommune[[#This Row],[B15-O]]/Rådatakommune[[#This Row],[Totalareal2015-O]]</f>
        <v>469.64104644088417</v>
      </c>
      <c r="O261" s="34">
        <f>Rådatakommune[[#This Row],[B15-O]]/Rådatakommune[[#This Row],[B05-O]]-1</f>
        <v>0.14942300533564956</v>
      </c>
      <c r="P261" s="34">
        <f>Rådatakommune[[#This Row],[Kvinner20-39-O]]/Rådatakommune[[#This Row],[B15-O]]</f>
        <v>0.13265394248207962</v>
      </c>
      <c r="Q261" s="34">
        <f>Rådatakommune[[#This Row],[Eldre67+-O]]/Rådatakommune[[#This Row],[B15-O]]</f>
        <v>0.13349598410916313</v>
      </c>
      <c r="R261" s="34">
        <f>Rådatakommune[[#This Row],[S14-O]]/Rådatakommune[[#This Row],[S04-O]]-1</f>
        <v>0.21025706612098727</v>
      </c>
      <c r="S261" s="34">
        <f>Rådatakommune[[#This Row],[Y14-O]]/Rådatakommune[[#This Row],[Folk20-64-O]]</f>
        <v>0.88933500627352569</v>
      </c>
    </row>
    <row r="262" spans="1:19" x14ac:dyDescent="0.25">
      <c r="A262" s="2" t="s">
        <v>260</v>
      </c>
      <c r="B262" s="37">
        <v>22327</v>
      </c>
      <c r="C262" s="36">
        <v>24507</v>
      </c>
      <c r="D262" s="33">
        <v>12262</v>
      </c>
      <c r="E262" s="38">
        <v>3624</v>
      </c>
      <c r="F262" s="39">
        <v>2944</v>
      </c>
      <c r="G262">
        <v>14506</v>
      </c>
      <c r="H262" s="42">
        <v>10058</v>
      </c>
      <c r="I262" s="33">
        <v>12231</v>
      </c>
      <c r="J262" s="5">
        <v>87.38</v>
      </c>
      <c r="K262" s="40">
        <v>400900</v>
      </c>
      <c r="L262" s="45">
        <v>163.16666666666998</v>
      </c>
      <c r="M262" s="41">
        <v>5</v>
      </c>
      <c r="N262" s="32">
        <f>Rådatakommune[[#This Row],[B15-O]]/Rådatakommune[[#This Row],[Totalareal2015-O]]</f>
        <v>280.4646372167544</v>
      </c>
      <c r="O262" s="34">
        <f>Rådatakommune[[#This Row],[B15-O]]/Rådatakommune[[#This Row],[B05-O]]-1</f>
        <v>9.7639629148564611E-2</v>
      </c>
      <c r="P262" s="34">
        <f>Rådatakommune[[#This Row],[Kvinner20-39-O]]/Rådatakommune[[#This Row],[B15-O]]</f>
        <v>0.12012894275105072</v>
      </c>
      <c r="Q262" s="34">
        <f>Rådatakommune[[#This Row],[Eldre67+-O]]/Rådatakommune[[#This Row],[B15-O]]</f>
        <v>0.14787611702778797</v>
      </c>
      <c r="R262" s="34">
        <f>Rådatakommune[[#This Row],[S14-O]]/Rådatakommune[[#This Row],[S04-O]]-1</f>
        <v>0.21604692781865187</v>
      </c>
      <c r="S262" s="34">
        <f>Rådatakommune[[#This Row],[Y14-O]]/Rådatakommune[[#This Row],[Folk20-64-O]]</f>
        <v>0.84530539087274237</v>
      </c>
    </row>
    <row r="263" spans="1:19" x14ac:dyDescent="0.25">
      <c r="A263" s="2" t="s">
        <v>261</v>
      </c>
      <c r="B263" s="37">
        <v>3693</v>
      </c>
      <c r="C263" s="36">
        <v>3258</v>
      </c>
      <c r="D263" s="33">
        <v>1620</v>
      </c>
      <c r="E263" s="38">
        <v>696</v>
      </c>
      <c r="F263" s="39">
        <v>284</v>
      </c>
      <c r="G263">
        <v>1734</v>
      </c>
      <c r="H263" s="33">
        <v>1352</v>
      </c>
      <c r="I263" s="33">
        <v>1328</v>
      </c>
      <c r="J263" s="5">
        <v>385.21</v>
      </c>
      <c r="K263" s="40">
        <v>375000</v>
      </c>
      <c r="L263" s="45">
        <v>221.65</v>
      </c>
      <c r="M263" s="41">
        <v>11</v>
      </c>
      <c r="N263" s="32">
        <f>Rådatakommune[[#This Row],[B15-O]]/Rådatakommune[[#This Row],[Totalareal2015-O]]</f>
        <v>8.4577243581423129</v>
      </c>
      <c r="O263" s="34">
        <f>Rådatakommune[[#This Row],[B15-O]]/Rådatakommune[[#This Row],[B05-O]]-1</f>
        <v>-0.11779041429731929</v>
      </c>
      <c r="P263" s="34">
        <f>Rådatakommune[[#This Row],[Kvinner20-39-O]]/Rådatakommune[[#This Row],[B15-O]]</f>
        <v>8.7170042971147943E-2</v>
      </c>
      <c r="Q263" s="34">
        <f>Rådatakommune[[#This Row],[Eldre67+-O]]/Rådatakommune[[#This Row],[B15-O]]</f>
        <v>0.21362799263351751</v>
      </c>
      <c r="R263" s="34">
        <f>Rådatakommune[[#This Row],[S14-O]]/Rådatakommune[[#This Row],[S04-O]]-1</f>
        <v>-1.7751479289940808E-2</v>
      </c>
      <c r="S263" s="34">
        <f>Rådatakommune[[#This Row],[Y14-O]]/Rådatakommune[[#This Row],[Folk20-64-O]]</f>
        <v>0.93425605536332179</v>
      </c>
    </row>
    <row r="264" spans="1:19" x14ac:dyDescent="0.25">
      <c r="A264" s="2" t="s">
        <v>262</v>
      </c>
      <c r="B264" s="37">
        <v>2576</v>
      </c>
      <c r="C264" s="36">
        <v>2635</v>
      </c>
      <c r="D264" s="33">
        <v>1421</v>
      </c>
      <c r="E264" s="38">
        <v>494</v>
      </c>
      <c r="F264" s="39">
        <v>235</v>
      </c>
      <c r="G264">
        <v>1520</v>
      </c>
      <c r="H264" s="33">
        <v>1101</v>
      </c>
      <c r="I264" s="33">
        <v>1395</v>
      </c>
      <c r="J264" s="5">
        <v>93.210000000000008</v>
      </c>
      <c r="K264" s="40">
        <v>367900</v>
      </c>
      <c r="L264" s="45">
        <v>195.71666666670001</v>
      </c>
      <c r="M264" s="41">
        <v>6</v>
      </c>
      <c r="N264" s="32">
        <f>Rådatakommune[[#This Row],[B15-O]]/Rådatakommune[[#This Row],[Totalareal2015-O]]</f>
        <v>28.269498980796051</v>
      </c>
      <c r="O264" s="34">
        <f>Rådatakommune[[#This Row],[B15-O]]/Rådatakommune[[#This Row],[B05-O]]-1</f>
        <v>2.2903726708074501E-2</v>
      </c>
      <c r="P264" s="34">
        <f>Rådatakommune[[#This Row],[Kvinner20-39-O]]/Rådatakommune[[#This Row],[B15-O]]</f>
        <v>8.9184060721062622E-2</v>
      </c>
      <c r="Q264" s="34">
        <f>Rådatakommune[[#This Row],[Eldre67+-O]]/Rådatakommune[[#This Row],[B15-O]]</f>
        <v>0.1874762808349146</v>
      </c>
      <c r="R264" s="34">
        <f>Rådatakommune[[#This Row],[S14-O]]/Rådatakommune[[#This Row],[S04-O]]-1</f>
        <v>0.26702997275204354</v>
      </c>
      <c r="S264" s="34">
        <f>Rådatakommune[[#This Row],[Y14-O]]/Rådatakommune[[#This Row],[Folk20-64-O]]</f>
        <v>0.93486842105263157</v>
      </c>
    </row>
    <row r="265" spans="1:19" x14ac:dyDescent="0.25">
      <c r="A265" s="2" t="s">
        <v>263</v>
      </c>
      <c r="B265" s="37">
        <v>8386</v>
      </c>
      <c r="C265" s="36">
        <v>8934</v>
      </c>
      <c r="D265" s="33">
        <v>4546</v>
      </c>
      <c r="E265" s="38">
        <v>1372</v>
      </c>
      <c r="F265" s="39">
        <v>1005</v>
      </c>
      <c r="G265">
        <v>5078</v>
      </c>
      <c r="H265" s="33">
        <v>3503</v>
      </c>
      <c r="I265" s="33">
        <v>4214</v>
      </c>
      <c r="J265" s="5">
        <v>119.52000000000001</v>
      </c>
      <c r="K265" s="40">
        <v>416100</v>
      </c>
      <c r="L265" s="45">
        <v>196.48333333330001</v>
      </c>
      <c r="M265" s="41">
        <v>6</v>
      </c>
      <c r="N265" s="32">
        <f>Rådatakommune[[#This Row],[B15-O]]/Rådatakommune[[#This Row],[Totalareal2015-O]]</f>
        <v>74.748995983935743</v>
      </c>
      <c r="O265" s="34">
        <f>Rådatakommune[[#This Row],[B15-O]]/Rådatakommune[[#This Row],[B05-O]]-1</f>
        <v>6.5347006916289141E-2</v>
      </c>
      <c r="P265" s="34">
        <f>Rådatakommune[[#This Row],[Kvinner20-39-O]]/Rådatakommune[[#This Row],[B15-O]]</f>
        <v>0.11249160510409671</v>
      </c>
      <c r="Q265" s="34">
        <f>Rådatakommune[[#This Row],[Eldre67+-O]]/Rådatakommune[[#This Row],[B15-O]]</f>
        <v>0.15357062905753302</v>
      </c>
      <c r="R265" s="34">
        <f>Rådatakommune[[#This Row],[S14-O]]/Rådatakommune[[#This Row],[S04-O]]-1</f>
        <v>0.2029688838138739</v>
      </c>
      <c r="S265" s="34">
        <f>Rådatakommune[[#This Row],[Y14-O]]/Rådatakommune[[#This Row],[Folk20-64-O]]</f>
        <v>0.8952343442300118</v>
      </c>
    </row>
    <row r="266" spans="1:19" x14ac:dyDescent="0.25">
      <c r="A266" s="2" t="s">
        <v>264</v>
      </c>
      <c r="B266" s="37">
        <v>6795</v>
      </c>
      <c r="C266" s="36">
        <v>8292</v>
      </c>
      <c r="D266" s="33">
        <v>4466</v>
      </c>
      <c r="E266" s="38">
        <v>1003</v>
      </c>
      <c r="F266" s="39">
        <v>947</v>
      </c>
      <c r="G266">
        <v>4848</v>
      </c>
      <c r="H266" s="33">
        <v>3524</v>
      </c>
      <c r="I266" s="33">
        <v>5528</v>
      </c>
      <c r="J266" s="5">
        <v>97.179999999999993</v>
      </c>
      <c r="K266" s="40">
        <v>432500</v>
      </c>
      <c r="L266" s="45">
        <v>184.05</v>
      </c>
      <c r="M266" s="41">
        <v>5</v>
      </c>
      <c r="N266" s="32">
        <f>Rådatakommune[[#This Row],[B15-O]]/Rådatakommune[[#This Row],[Totalareal2015-O]]</f>
        <v>85.326198806338766</v>
      </c>
      <c r="O266" s="34">
        <f>Rådatakommune[[#This Row],[B15-O]]/Rådatakommune[[#This Row],[B05-O]]-1</f>
        <v>0.22030905077262686</v>
      </c>
      <c r="P266" s="34">
        <f>Rådatakommune[[#This Row],[Kvinner20-39-O]]/Rådatakommune[[#This Row],[B15-O]]</f>
        <v>0.11420646406174625</v>
      </c>
      <c r="Q266" s="34">
        <f>Rådatakommune[[#This Row],[Eldre67+-O]]/Rådatakommune[[#This Row],[B15-O]]</f>
        <v>0.12095996140858659</v>
      </c>
      <c r="R266" s="34">
        <f>Rådatakommune[[#This Row],[S14-O]]/Rådatakommune[[#This Row],[S04-O]]-1</f>
        <v>0.56867196367763895</v>
      </c>
      <c r="S266" s="34">
        <f>Rådatakommune[[#This Row],[Y14-O]]/Rådatakommune[[#This Row],[Folk20-64-O]]</f>
        <v>0.92120462046204621</v>
      </c>
    </row>
    <row r="267" spans="1:19" x14ac:dyDescent="0.25">
      <c r="A267" s="2" t="s">
        <v>265</v>
      </c>
      <c r="B267" s="37">
        <v>4658</v>
      </c>
      <c r="C267" s="36">
        <v>5065</v>
      </c>
      <c r="D267" s="33">
        <v>2641</v>
      </c>
      <c r="E267" s="38">
        <v>745</v>
      </c>
      <c r="F267" s="39">
        <v>631</v>
      </c>
      <c r="G267">
        <v>2922</v>
      </c>
      <c r="H267" s="33">
        <v>1780</v>
      </c>
      <c r="I267" s="33">
        <v>2063</v>
      </c>
      <c r="J267" s="5">
        <v>82.25</v>
      </c>
      <c r="K267" s="40">
        <v>394500</v>
      </c>
      <c r="L267" s="45">
        <v>191.6833333333</v>
      </c>
      <c r="M267" s="41">
        <v>5</v>
      </c>
      <c r="N267" s="32">
        <f>Rådatakommune[[#This Row],[B15-O]]/Rådatakommune[[#This Row],[Totalareal2015-O]]</f>
        <v>61.580547112462007</v>
      </c>
      <c r="O267" s="34">
        <f>Rådatakommune[[#This Row],[B15-O]]/Rådatakommune[[#This Row],[B05-O]]-1</f>
        <v>8.7376556462000821E-2</v>
      </c>
      <c r="P267" s="34">
        <f>Rådatakommune[[#This Row],[Kvinner20-39-O]]/Rådatakommune[[#This Row],[B15-O]]</f>
        <v>0.12458045409674234</v>
      </c>
      <c r="Q267" s="34">
        <f>Rådatakommune[[#This Row],[Eldre67+-O]]/Rådatakommune[[#This Row],[B15-O]]</f>
        <v>0.14708785784797632</v>
      </c>
      <c r="R267" s="34">
        <f>Rådatakommune[[#This Row],[S14-O]]/Rådatakommune[[#This Row],[S04-O]]-1</f>
        <v>0.15898876404494389</v>
      </c>
      <c r="S267" s="34">
        <f>Rådatakommune[[#This Row],[Y14-O]]/Rådatakommune[[#This Row],[Folk20-64-O]]</f>
        <v>0.9038329911019849</v>
      </c>
    </row>
    <row r="268" spans="1:19" x14ac:dyDescent="0.25">
      <c r="A268" s="2" t="s">
        <v>266</v>
      </c>
      <c r="B268" s="37">
        <v>8351</v>
      </c>
      <c r="C268" s="36">
        <v>8977</v>
      </c>
      <c r="D268" s="33">
        <v>4397</v>
      </c>
      <c r="E268" s="38">
        <v>1406</v>
      </c>
      <c r="F268" s="39">
        <v>1097</v>
      </c>
      <c r="G268">
        <v>5107</v>
      </c>
      <c r="H268" s="33">
        <v>3837</v>
      </c>
      <c r="I268" s="33">
        <v>4318</v>
      </c>
      <c r="J268" s="5">
        <v>547.22</v>
      </c>
      <c r="K268" s="40">
        <v>366200</v>
      </c>
      <c r="L268" s="45">
        <v>166.73333333332999</v>
      </c>
      <c r="M268" s="41">
        <v>6</v>
      </c>
      <c r="N268" s="32">
        <f>Rådatakommune[[#This Row],[B15-O]]/Rådatakommune[[#This Row],[Totalareal2015-O]]</f>
        <v>16.404736668981396</v>
      </c>
      <c r="O268" s="34">
        <f>Rådatakommune[[#This Row],[B15-O]]/Rådatakommune[[#This Row],[B05-O]]-1</f>
        <v>7.496108250508926E-2</v>
      </c>
      <c r="P268" s="34">
        <f>Rådatakommune[[#This Row],[Kvinner20-39-O]]/Rådatakommune[[#This Row],[B15-O]]</f>
        <v>0.12220118079536593</v>
      </c>
      <c r="Q268" s="34">
        <f>Rådatakommune[[#This Row],[Eldre67+-O]]/Rådatakommune[[#This Row],[B15-O]]</f>
        <v>0.15662247967026846</v>
      </c>
      <c r="R268" s="34">
        <f>Rådatakommune[[#This Row],[S14-O]]/Rådatakommune[[#This Row],[S04-O]]-1</f>
        <v>0.12535835287985408</v>
      </c>
      <c r="S268" s="34">
        <f>Rådatakommune[[#This Row],[Y14-O]]/Rådatakommune[[#This Row],[Folk20-64-O]]</f>
        <v>0.86097513217152932</v>
      </c>
    </row>
    <row r="269" spans="1:19" x14ac:dyDescent="0.25">
      <c r="A269" s="2" t="s">
        <v>267</v>
      </c>
      <c r="B269" s="37">
        <v>10233</v>
      </c>
      <c r="C269" s="36">
        <v>10589</v>
      </c>
      <c r="D269" s="33">
        <v>5413</v>
      </c>
      <c r="E269" s="38">
        <v>1733</v>
      </c>
      <c r="F269" s="39">
        <v>1197</v>
      </c>
      <c r="G269">
        <v>5940</v>
      </c>
      <c r="H269" s="33">
        <v>4181</v>
      </c>
      <c r="I269" s="33">
        <v>4792</v>
      </c>
      <c r="J269" s="5">
        <v>804.43</v>
      </c>
      <c r="K269" s="40">
        <v>379400</v>
      </c>
      <c r="L269" s="45">
        <v>164.25</v>
      </c>
      <c r="M269" s="41">
        <v>6</v>
      </c>
      <c r="N269" s="32">
        <f>Rådatakommune[[#This Row],[B15-O]]/Rådatakommune[[#This Row],[Totalareal2015-O]]</f>
        <v>13.163357905597753</v>
      </c>
      <c r="O269" s="34">
        <f>Rådatakommune[[#This Row],[B15-O]]/Rådatakommune[[#This Row],[B05-O]]-1</f>
        <v>3.4789406821069013E-2</v>
      </c>
      <c r="P269" s="34">
        <f>Rådatakommune[[#This Row],[Kvinner20-39-O]]/Rådatakommune[[#This Row],[B15-O]]</f>
        <v>0.11304183586740958</v>
      </c>
      <c r="Q269" s="34">
        <f>Rådatakommune[[#This Row],[Eldre67+-O]]/Rådatakommune[[#This Row],[B15-O]]</f>
        <v>0.16366040230427803</v>
      </c>
      <c r="R269" s="34">
        <f>Rådatakommune[[#This Row],[S14-O]]/Rådatakommune[[#This Row],[S04-O]]-1</f>
        <v>0.14613728773020807</v>
      </c>
      <c r="S269" s="34">
        <f>Rådatakommune[[#This Row],[Y14-O]]/Rådatakommune[[#This Row],[Folk20-64-O]]</f>
        <v>0.91127946127946124</v>
      </c>
    </row>
    <row r="270" spans="1:19" x14ac:dyDescent="0.25">
      <c r="A270" s="2" t="s">
        <v>268</v>
      </c>
      <c r="B270" s="37">
        <v>2121</v>
      </c>
      <c r="C270" s="36">
        <v>2294</v>
      </c>
      <c r="D270" s="33">
        <v>1219</v>
      </c>
      <c r="E270" s="38">
        <v>369</v>
      </c>
      <c r="F270" s="39">
        <v>272</v>
      </c>
      <c r="G270">
        <v>1301</v>
      </c>
      <c r="H270" s="33">
        <v>789</v>
      </c>
      <c r="I270" s="33">
        <v>976</v>
      </c>
      <c r="J270" s="5">
        <v>132.35999999999999</v>
      </c>
      <c r="K270" s="40">
        <v>375400</v>
      </c>
      <c r="L270" s="45">
        <v>198.5833333333</v>
      </c>
      <c r="M270" s="41">
        <v>4</v>
      </c>
      <c r="N270" s="32">
        <f>Rådatakommune[[#This Row],[B15-O]]/Rådatakommune[[#This Row],[Totalareal2015-O]]</f>
        <v>17.331520096705955</v>
      </c>
      <c r="O270" s="34">
        <f>Rådatakommune[[#This Row],[B15-O]]/Rådatakommune[[#This Row],[B05-O]]-1</f>
        <v>8.1565299387081458E-2</v>
      </c>
      <c r="P270" s="34">
        <f>Rådatakommune[[#This Row],[Kvinner20-39-O]]/Rådatakommune[[#This Row],[B15-O]]</f>
        <v>0.11857018308631212</v>
      </c>
      <c r="Q270" s="34">
        <f>Rådatakommune[[#This Row],[Eldre67+-O]]/Rådatakommune[[#This Row],[B15-O]]</f>
        <v>0.16085440278988666</v>
      </c>
      <c r="R270" s="34">
        <f>Rådatakommune[[#This Row],[S14-O]]/Rådatakommune[[#This Row],[S04-O]]-1</f>
        <v>0.23700887198986065</v>
      </c>
      <c r="S270" s="34">
        <f>Rådatakommune[[#This Row],[Y14-O]]/Rådatakommune[[#This Row],[Folk20-64-O]]</f>
        <v>0.93697156033820139</v>
      </c>
    </row>
    <row r="271" spans="1:19" x14ac:dyDescent="0.25">
      <c r="A271" s="2" t="s">
        <v>269</v>
      </c>
      <c r="B271" s="37">
        <v>1817</v>
      </c>
      <c r="C271" s="36">
        <v>1676</v>
      </c>
      <c r="D271" s="33">
        <v>875</v>
      </c>
      <c r="E271" s="38">
        <v>338</v>
      </c>
      <c r="F271" s="39">
        <v>147</v>
      </c>
      <c r="G271">
        <v>873</v>
      </c>
      <c r="H271" s="33">
        <v>878</v>
      </c>
      <c r="I271" s="33">
        <v>853</v>
      </c>
      <c r="J271" s="5">
        <v>943.52</v>
      </c>
      <c r="K271" s="40">
        <v>357700</v>
      </c>
      <c r="L271" s="45">
        <v>235.96666666670001</v>
      </c>
      <c r="M271" s="41">
        <v>9</v>
      </c>
      <c r="N271" s="32">
        <f>Rådatakommune[[#This Row],[B15-O]]/Rådatakommune[[#This Row],[Totalareal2015-O]]</f>
        <v>1.7763269459046973</v>
      </c>
      <c r="O271" s="34">
        <f>Rådatakommune[[#This Row],[B15-O]]/Rådatakommune[[#This Row],[B05-O]]-1</f>
        <v>-7.7600440286186068E-2</v>
      </c>
      <c r="P271" s="34">
        <f>Rådatakommune[[#This Row],[Kvinner20-39-O]]/Rådatakommune[[#This Row],[B15-O]]</f>
        <v>8.7708830548926017E-2</v>
      </c>
      <c r="Q271" s="34">
        <f>Rådatakommune[[#This Row],[Eldre67+-O]]/Rådatakommune[[#This Row],[B15-O]]</f>
        <v>0.20167064439140811</v>
      </c>
      <c r="R271" s="34">
        <f>Rådatakommune[[#This Row],[S14-O]]/Rådatakommune[[#This Row],[S04-O]]-1</f>
        <v>-2.8473804100227817E-2</v>
      </c>
      <c r="S271" s="34">
        <f>Rådatakommune[[#This Row],[Y14-O]]/Rådatakommune[[#This Row],[Folk20-64-O]]</f>
        <v>1.002290950744559</v>
      </c>
    </row>
    <row r="272" spans="1:19" x14ac:dyDescent="0.25">
      <c r="A272" s="2" t="s">
        <v>270</v>
      </c>
      <c r="B272" s="37">
        <v>4605</v>
      </c>
      <c r="C272" s="36">
        <v>4605</v>
      </c>
      <c r="D272" s="33">
        <v>2490</v>
      </c>
      <c r="E272" s="38">
        <v>864</v>
      </c>
      <c r="F272" s="39">
        <v>515</v>
      </c>
      <c r="G272">
        <v>2537</v>
      </c>
      <c r="H272" s="33">
        <v>2438</v>
      </c>
      <c r="I272" s="33">
        <v>2432</v>
      </c>
      <c r="J272" s="5">
        <v>865.86</v>
      </c>
      <c r="K272" s="40">
        <v>365500</v>
      </c>
      <c r="L272" s="45">
        <v>230.9166666667</v>
      </c>
      <c r="M272" s="41">
        <v>5</v>
      </c>
      <c r="N272" s="32">
        <f>Rådatakommune[[#This Row],[B15-O]]/Rådatakommune[[#This Row],[Totalareal2015-O]]</f>
        <v>5.3184117524773056</v>
      </c>
      <c r="O272" s="34">
        <f>Rådatakommune[[#This Row],[B15-O]]/Rådatakommune[[#This Row],[B05-O]]-1</f>
        <v>0</v>
      </c>
      <c r="P272" s="34">
        <f>Rådatakommune[[#This Row],[Kvinner20-39-O]]/Rådatakommune[[#This Row],[B15-O]]</f>
        <v>0.11183496199782844</v>
      </c>
      <c r="Q272" s="34">
        <f>Rådatakommune[[#This Row],[Eldre67+-O]]/Rådatakommune[[#This Row],[B15-O]]</f>
        <v>0.18762214983713354</v>
      </c>
      <c r="R272" s="34">
        <f>Rådatakommune[[#This Row],[S14-O]]/Rådatakommune[[#This Row],[S04-O]]-1</f>
        <v>-2.4610336341263084E-3</v>
      </c>
      <c r="S272" s="34">
        <f>Rådatakommune[[#This Row],[Y14-O]]/Rådatakommune[[#This Row],[Folk20-64-O]]</f>
        <v>0.98147418210484827</v>
      </c>
    </row>
    <row r="273" spans="1:19" x14ac:dyDescent="0.25">
      <c r="A273" s="2" t="s">
        <v>271</v>
      </c>
      <c r="B273" s="37">
        <v>1007</v>
      </c>
      <c r="C273" s="36">
        <v>1043</v>
      </c>
      <c r="D273" s="33">
        <v>499</v>
      </c>
      <c r="E273" s="38">
        <v>176</v>
      </c>
      <c r="F273" s="39">
        <v>89</v>
      </c>
      <c r="G273">
        <v>563</v>
      </c>
      <c r="H273" s="33">
        <v>606</v>
      </c>
      <c r="I273" s="33">
        <v>479</v>
      </c>
      <c r="J273" s="5">
        <v>247.07</v>
      </c>
      <c r="K273" s="40">
        <v>333200</v>
      </c>
      <c r="L273" s="45">
        <v>214.76666666669999</v>
      </c>
      <c r="M273" s="41">
        <v>4</v>
      </c>
      <c r="N273" s="32">
        <f>Rådatakommune[[#This Row],[B15-O]]/Rådatakommune[[#This Row],[Totalareal2015-O]]</f>
        <v>4.2214756951471246</v>
      </c>
      <c r="O273" s="34">
        <f>Rådatakommune[[#This Row],[B15-O]]/Rådatakommune[[#This Row],[B05-O]]-1</f>
        <v>3.5749751737835123E-2</v>
      </c>
      <c r="P273" s="34">
        <f>Rådatakommune[[#This Row],[Kvinner20-39-O]]/Rådatakommune[[#This Row],[B15-O]]</f>
        <v>8.5330776605944389E-2</v>
      </c>
      <c r="Q273" s="34">
        <f>Rådatakommune[[#This Row],[Eldre67+-O]]/Rådatakommune[[#This Row],[B15-O]]</f>
        <v>0.16874400767018216</v>
      </c>
      <c r="R273" s="34">
        <f>Rådatakommune[[#This Row],[S14-O]]/Rådatakommune[[#This Row],[S04-O]]-1</f>
        <v>-0.20957095709570961</v>
      </c>
      <c r="S273" s="34">
        <f>Rådatakommune[[#This Row],[Y14-O]]/Rådatakommune[[#This Row],[Folk20-64-O]]</f>
        <v>0.88632326820603913</v>
      </c>
    </row>
    <row r="274" spans="1:19" x14ac:dyDescent="0.25">
      <c r="A274" s="2" t="s">
        <v>272</v>
      </c>
      <c r="B274" s="37">
        <v>7446</v>
      </c>
      <c r="C274" s="36">
        <v>7707</v>
      </c>
      <c r="D274" s="33">
        <v>4095</v>
      </c>
      <c r="E274" s="38">
        <v>1158</v>
      </c>
      <c r="F274" s="39">
        <v>858</v>
      </c>
      <c r="G274">
        <v>4381</v>
      </c>
      <c r="H274" s="33">
        <v>3891</v>
      </c>
      <c r="I274" s="33">
        <v>3817</v>
      </c>
      <c r="J274" s="5">
        <v>337.78</v>
      </c>
      <c r="K274" s="40">
        <v>374500</v>
      </c>
      <c r="L274" s="45">
        <v>203.95</v>
      </c>
      <c r="M274" s="41">
        <v>4</v>
      </c>
      <c r="N274" s="32">
        <f>Rådatakommune[[#This Row],[B15-O]]/Rådatakommune[[#This Row],[Totalareal2015-O]]</f>
        <v>22.816626206406539</v>
      </c>
      <c r="O274" s="34">
        <f>Rådatakommune[[#This Row],[B15-O]]/Rådatakommune[[#This Row],[B05-O]]-1</f>
        <v>3.5052377115229572E-2</v>
      </c>
      <c r="P274" s="34">
        <f>Rådatakommune[[#This Row],[Kvinner20-39-O]]/Rådatakommune[[#This Row],[B15-O]]</f>
        <v>0.11132736473335929</v>
      </c>
      <c r="Q274" s="34">
        <f>Rådatakommune[[#This Row],[Eldre67+-O]]/Rådatakommune[[#This Row],[B15-O]]</f>
        <v>0.15025301673803035</v>
      </c>
      <c r="R274" s="34">
        <f>Rådatakommune[[#This Row],[S14-O]]/Rådatakommune[[#This Row],[S04-O]]-1</f>
        <v>-1.9018247237214125E-2</v>
      </c>
      <c r="S274" s="34">
        <f>Rådatakommune[[#This Row],[Y14-O]]/Rådatakommune[[#This Row],[Folk20-64-O]]</f>
        <v>0.93471810089020768</v>
      </c>
    </row>
    <row r="275" spans="1:19" x14ac:dyDescent="0.25">
      <c r="A275" s="2" t="s">
        <v>273</v>
      </c>
      <c r="B275" s="37">
        <v>3597</v>
      </c>
      <c r="C275" s="36">
        <v>4465</v>
      </c>
      <c r="D275" s="33">
        <v>2343</v>
      </c>
      <c r="E275" s="38">
        <v>525</v>
      </c>
      <c r="F275" s="39">
        <v>592</v>
      </c>
      <c r="G275">
        <v>2587</v>
      </c>
      <c r="H275" s="33">
        <v>1049</v>
      </c>
      <c r="I275" s="33">
        <v>1507</v>
      </c>
      <c r="J275" s="5">
        <v>120.03</v>
      </c>
      <c r="K275" s="40">
        <v>392900</v>
      </c>
      <c r="L275" s="45">
        <v>190.36666666669998</v>
      </c>
      <c r="M275" s="41">
        <v>4</v>
      </c>
      <c r="N275" s="32">
        <f>Rådatakommune[[#This Row],[B15-O]]/Rådatakommune[[#This Row],[Totalareal2015-O]]</f>
        <v>37.199033574939598</v>
      </c>
      <c r="O275" s="34">
        <f>Rådatakommune[[#This Row],[B15-O]]/Rådatakommune[[#This Row],[B05-O]]-1</f>
        <v>0.24131220461495695</v>
      </c>
      <c r="P275" s="34">
        <f>Rådatakommune[[#This Row],[Kvinner20-39-O]]/Rådatakommune[[#This Row],[B15-O]]</f>
        <v>0.13258678611422173</v>
      </c>
      <c r="Q275" s="34">
        <f>Rådatakommune[[#This Row],[Eldre67+-O]]/Rådatakommune[[#This Row],[B15-O]]</f>
        <v>0.11758118701007839</v>
      </c>
      <c r="R275" s="34">
        <f>Rådatakommune[[#This Row],[S14-O]]/Rådatakommune[[#This Row],[S04-O]]-1</f>
        <v>0.4366062917063871</v>
      </c>
      <c r="S275" s="34">
        <f>Rådatakommune[[#This Row],[Y14-O]]/Rådatakommune[[#This Row],[Folk20-64-O]]</f>
        <v>0.90568225744105146</v>
      </c>
    </row>
    <row r="276" spans="1:19" x14ac:dyDescent="0.25">
      <c r="A276" s="2" t="s">
        <v>274</v>
      </c>
      <c r="B276" s="37">
        <v>7453</v>
      </c>
      <c r="C276" s="36">
        <v>8855</v>
      </c>
      <c r="D276" s="33">
        <v>4663</v>
      </c>
      <c r="E276" s="38">
        <v>1169</v>
      </c>
      <c r="F276" s="39">
        <v>1101</v>
      </c>
      <c r="G276">
        <v>5013</v>
      </c>
      <c r="H276" s="33">
        <v>2543</v>
      </c>
      <c r="I276" s="33">
        <v>2919</v>
      </c>
      <c r="J276" s="5">
        <v>58.5</v>
      </c>
      <c r="K276" s="40">
        <v>385400</v>
      </c>
      <c r="L276" s="45">
        <v>193.61666666669998</v>
      </c>
      <c r="M276" s="41">
        <v>4</v>
      </c>
      <c r="N276" s="32">
        <f>Rådatakommune[[#This Row],[B15-O]]/Rådatakommune[[#This Row],[Totalareal2015-O]]</f>
        <v>151.36752136752136</v>
      </c>
      <c r="O276" s="34">
        <f>Rådatakommune[[#This Row],[B15-O]]/Rådatakommune[[#This Row],[B05-O]]-1</f>
        <v>0.18811216959613586</v>
      </c>
      <c r="P276" s="34">
        <f>Rådatakommune[[#This Row],[Kvinner20-39-O]]/Rådatakommune[[#This Row],[B15-O]]</f>
        <v>0.12433653303218521</v>
      </c>
      <c r="Q276" s="34">
        <f>Rådatakommune[[#This Row],[Eldre67+-O]]/Rådatakommune[[#This Row],[B15-O]]</f>
        <v>0.13201581027667983</v>
      </c>
      <c r="R276" s="34">
        <f>Rådatakommune[[#This Row],[S14-O]]/Rådatakommune[[#This Row],[S04-O]]-1</f>
        <v>0.14785686197404635</v>
      </c>
      <c r="S276" s="34">
        <f>Rådatakommune[[#This Row],[Y14-O]]/Rådatakommune[[#This Row],[Folk20-64-O]]</f>
        <v>0.9301815280271295</v>
      </c>
    </row>
    <row r="277" spans="1:19" x14ac:dyDescent="0.25">
      <c r="A277" s="2" t="s">
        <v>275</v>
      </c>
      <c r="B277" s="37">
        <v>6591</v>
      </c>
      <c r="C277" s="36">
        <v>7924</v>
      </c>
      <c r="D277" s="33">
        <v>4175</v>
      </c>
      <c r="E277" s="38">
        <v>1010</v>
      </c>
      <c r="F277" s="39">
        <v>994</v>
      </c>
      <c r="G277">
        <v>4487</v>
      </c>
      <c r="H277" s="33">
        <v>2262</v>
      </c>
      <c r="I277" s="33">
        <v>2549</v>
      </c>
      <c r="J277" s="5">
        <v>40.529999999999994</v>
      </c>
      <c r="K277" s="40">
        <v>407400</v>
      </c>
      <c r="L277" s="45">
        <v>163.05000000000001</v>
      </c>
      <c r="M277" s="41">
        <v>4</v>
      </c>
      <c r="N277" s="32">
        <f>Rådatakommune[[#This Row],[B15-O]]/Rådatakommune[[#This Row],[Totalareal2015-O]]</f>
        <v>195.50949913644217</v>
      </c>
      <c r="O277" s="34">
        <f>Rådatakommune[[#This Row],[B15-O]]/Rådatakommune[[#This Row],[B05-O]]-1</f>
        <v>0.20224548626915495</v>
      </c>
      <c r="P277" s="34">
        <f>Rådatakommune[[#This Row],[Kvinner20-39-O]]/Rådatakommune[[#This Row],[B15-O]]</f>
        <v>0.12544169611307421</v>
      </c>
      <c r="Q277" s="34">
        <f>Rådatakommune[[#This Row],[Eldre67+-O]]/Rådatakommune[[#This Row],[B15-O]]</f>
        <v>0.12746087834427058</v>
      </c>
      <c r="R277" s="34">
        <f>Rådatakommune[[#This Row],[S14-O]]/Rådatakommune[[#This Row],[S04-O]]-1</f>
        <v>0.12687886825817851</v>
      </c>
      <c r="S277" s="34">
        <f>Rådatakommune[[#This Row],[Y14-O]]/Rådatakommune[[#This Row],[Folk20-64-O]]</f>
        <v>0.93046579006017383</v>
      </c>
    </row>
    <row r="278" spans="1:19" x14ac:dyDescent="0.25">
      <c r="A278" s="2" t="s">
        <v>276</v>
      </c>
      <c r="B278" s="37">
        <v>8715</v>
      </c>
      <c r="C278" s="36">
        <v>9120</v>
      </c>
      <c r="D278" s="33">
        <v>4688</v>
      </c>
      <c r="E278" s="38">
        <v>1500</v>
      </c>
      <c r="F278" s="39">
        <v>987</v>
      </c>
      <c r="G278">
        <v>5124</v>
      </c>
      <c r="H278" s="33">
        <v>3841</v>
      </c>
      <c r="I278" s="33">
        <v>4387</v>
      </c>
      <c r="J278" s="5">
        <v>261.14</v>
      </c>
      <c r="K278" s="40">
        <v>391200</v>
      </c>
      <c r="L278" s="45">
        <v>196.9333333333</v>
      </c>
      <c r="M278" s="41">
        <v>4</v>
      </c>
      <c r="N278" s="32">
        <f>Rådatakommune[[#This Row],[B15-O]]/Rådatakommune[[#This Row],[Totalareal2015-O]]</f>
        <v>34.923795665160455</v>
      </c>
      <c r="O278" s="34">
        <f>Rådatakommune[[#This Row],[B15-O]]/Rådatakommune[[#This Row],[B05-O]]-1</f>
        <v>4.6471600688468229E-2</v>
      </c>
      <c r="P278" s="34">
        <f>Rådatakommune[[#This Row],[Kvinner20-39-O]]/Rådatakommune[[#This Row],[B15-O]]</f>
        <v>0.10822368421052632</v>
      </c>
      <c r="Q278" s="34">
        <f>Rådatakommune[[#This Row],[Eldre67+-O]]/Rådatakommune[[#This Row],[B15-O]]</f>
        <v>0.16447368421052633</v>
      </c>
      <c r="R278" s="34">
        <f>Rådatakommune[[#This Row],[S14-O]]/Rådatakommune[[#This Row],[S04-O]]-1</f>
        <v>0.14215048164540489</v>
      </c>
      <c r="S278" s="34">
        <f>Rådatakommune[[#This Row],[Y14-O]]/Rådatakommune[[#This Row],[Folk20-64-O]]</f>
        <v>0.91491022638563624</v>
      </c>
    </row>
    <row r="279" spans="1:19" x14ac:dyDescent="0.25">
      <c r="A279" s="2" t="s">
        <v>277</v>
      </c>
      <c r="B279" s="37">
        <v>6390</v>
      </c>
      <c r="C279" s="36">
        <v>6708</v>
      </c>
      <c r="D279" s="33">
        <v>3340</v>
      </c>
      <c r="E279" s="38">
        <v>1076</v>
      </c>
      <c r="F279" s="39">
        <v>724</v>
      </c>
      <c r="G279">
        <v>3926</v>
      </c>
      <c r="H279" s="33">
        <v>2699</v>
      </c>
      <c r="I279" s="33">
        <v>2874</v>
      </c>
      <c r="J279" s="5">
        <v>351.98</v>
      </c>
      <c r="K279" s="40">
        <v>366700</v>
      </c>
      <c r="L279" s="45">
        <v>204.3</v>
      </c>
      <c r="M279" s="41">
        <v>4</v>
      </c>
      <c r="N279" s="32">
        <f>Rådatakommune[[#This Row],[B15-O]]/Rådatakommune[[#This Row],[Totalareal2015-O]]</f>
        <v>19.057901017103244</v>
      </c>
      <c r="O279" s="34">
        <f>Rådatakommune[[#This Row],[B15-O]]/Rådatakommune[[#This Row],[B05-O]]-1</f>
        <v>4.9765258215962449E-2</v>
      </c>
      <c r="P279" s="34">
        <f>Rådatakommune[[#This Row],[Kvinner20-39-O]]/Rådatakommune[[#This Row],[B15-O]]</f>
        <v>0.10793082886106142</v>
      </c>
      <c r="Q279" s="34">
        <f>Rådatakommune[[#This Row],[Eldre67+-O]]/Rådatakommune[[#This Row],[B15-O]]</f>
        <v>0.16040548598688134</v>
      </c>
      <c r="R279" s="34">
        <f>Rådatakommune[[#This Row],[S14-O]]/Rådatakommune[[#This Row],[S04-O]]-1</f>
        <v>6.4838829195998482E-2</v>
      </c>
      <c r="S279" s="34">
        <f>Rådatakommune[[#This Row],[Y14-O]]/Rådatakommune[[#This Row],[Folk20-64-O]]</f>
        <v>0.85073866530820175</v>
      </c>
    </row>
    <row r="280" spans="1:19" x14ac:dyDescent="0.25">
      <c r="A280" s="2" t="s">
        <v>278</v>
      </c>
      <c r="B280" s="37">
        <v>7336</v>
      </c>
      <c r="C280" s="36">
        <v>7445</v>
      </c>
      <c r="D280" s="33">
        <v>3869</v>
      </c>
      <c r="E280" s="38">
        <v>1369</v>
      </c>
      <c r="F280" s="39">
        <v>757</v>
      </c>
      <c r="G280">
        <v>4090</v>
      </c>
      <c r="H280" s="33">
        <v>3309</v>
      </c>
      <c r="I280" s="33">
        <v>3568</v>
      </c>
      <c r="J280" s="5">
        <v>1502.14</v>
      </c>
      <c r="K280" s="40">
        <v>370100</v>
      </c>
      <c r="L280" s="45">
        <v>203.11666666669998</v>
      </c>
      <c r="M280" s="41">
        <v>5</v>
      </c>
      <c r="N280" s="32">
        <f>Rådatakommune[[#This Row],[B15-O]]/Rådatakommune[[#This Row],[Totalareal2015-O]]</f>
        <v>4.9562623989774588</v>
      </c>
      <c r="O280" s="34">
        <f>Rådatakommune[[#This Row],[B15-O]]/Rådatakommune[[#This Row],[B05-O]]-1</f>
        <v>1.4858233369683838E-2</v>
      </c>
      <c r="P280" s="34">
        <f>Rådatakommune[[#This Row],[Kvinner20-39-O]]/Rådatakommune[[#This Row],[B15-O]]</f>
        <v>0.10167897918065816</v>
      </c>
      <c r="Q280" s="34">
        <f>Rådatakommune[[#This Row],[Eldre67+-O]]/Rådatakommune[[#This Row],[B15-O]]</f>
        <v>0.18388179986568168</v>
      </c>
      <c r="R280" s="34">
        <f>Rådatakommune[[#This Row],[S14-O]]/Rådatakommune[[#This Row],[S04-O]]-1</f>
        <v>7.8271381081897795E-2</v>
      </c>
      <c r="S280" s="34">
        <f>Rådatakommune[[#This Row],[Y14-O]]/Rådatakommune[[#This Row],[Folk20-64-O]]</f>
        <v>0.94596577017114913</v>
      </c>
    </row>
    <row r="281" spans="1:19" x14ac:dyDescent="0.25">
      <c r="A281" s="2" t="s">
        <v>279</v>
      </c>
      <c r="B281" s="37">
        <v>3181</v>
      </c>
      <c r="C281" s="36">
        <v>2975</v>
      </c>
      <c r="D281" s="33">
        <v>1554</v>
      </c>
      <c r="E281" s="38">
        <v>562</v>
      </c>
      <c r="F281" s="39">
        <v>295</v>
      </c>
      <c r="G281">
        <v>1683</v>
      </c>
      <c r="H281" s="33">
        <v>1225</v>
      </c>
      <c r="I281" s="33">
        <v>910</v>
      </c>
      <c r="J281" s="5">
        <v>1046.08</v>
      </c>
      <c r="K281" s="40">
        <v>362200</v>
      </c>
      <c r="L281" s="45">
        <v>191.51666666669999</v>
      </c>
      <c r="M281" s="41">
        <v>4</v>
      </c>
      <c r="N281" s="32">
        <f>Rådatakommune[[#This Row],[B15-O]]/Rådatakommune[[#This Row],[Totalareal2015-O]]</f>
        <v>2.8439507494646681</v>
      </c>
      <c r="O281" s="34">
        <f>Rådatakommune[[#This Row],[B15-O]]/Rådatakommune[[#This Row],[B05-O]]-1</f>
        <v>-6.4759509588179776E-2</v>
      </c>
      <c r="P281" s="34">
        <f>Rådatakommune[[#This Row],[Kvinner20-39-O]]/Rådatakommune[[#This Row],[B15-O]]</f>
        <v>9.9159663865546213E-2</v>
      </c>
      <c r="Q281" s="34">
        <f>Rådatakommune[[#This Row],[Eldre67+-O]]/Rådatakommune[[#This Row],[B15-O]]</f>
        <v>0.18890756302521008</v>
      </c>
      <c r="R281" s="34">
        <f>Rådatakommune[[#This Row],[S14-O]]/Rådatakommune[[#This Row],[S04-O]]-1</f>
        <v>-0.25714285714285712</v>
      </c>
      <c r="S281" s="34">
        <f>Rådatakommune[[#This Row],[Y14-O]]/Rådatakommune[[#This Row],[Folk20-64-O]]</f>
        <v>0.92335115864527628</v>
      </c>
    </row>
    <row r="282" spans="1:19" x14ac:dyDescent="0.25">
      <c r="A282" s="2" t="s">
        <v>280</v>
      </c>
      <c r="B282" s="37">
        <v>1939</v>
      </c>
      <c r="C282" s="36">
        <v>2068</v>
      </c>
      <c r="D282" s="33">
        <v>1024</v>
      </c>
      <c r="E282" s="38">
        <v>373</v>
      </c>
      <c r="F282" s="39">
        <v>201</v>
      </c>
      <c r="G282">
        <v>1082</v>
      </c>
      <c r="H282" s="33">
        <v>760</v>
      </c>
      <c r="I282" s="33">
        <v>883</v>
      </c>
      <c r="J282" s="5">
        <v>94.65</v>
      </c>
      <c r="K282" s="40">
        <v>387900</v>
      </c>
      <c r="L282" s="45">
        <v>189.4166666667</v>
      </c>
      <c r="M282" s="41">
        <v>4</v>
      </c>
      <c r="N282" s="32">
        <f>Rådatakommune[[#This Row],[B15-O]]/Rådatakommune[[#This Row],[Totalareal2015-O]]</f>
        <v>21.84891706286318</v>
      </c>
      <c r="O282" s="34">
        <f>Rådatakommune[[#This Row],[B15-O]]/Rådatakommune[[#This Row],[B05-O]]-1</f>
        <v>6.6529138731304727E-2</v>
      </c>
      <c r="P282" s="34">
        <f>Rådatakommune[[#This Row],[Kvinner20-39-O]]/Rådatakommune[[#This Row],[B15-O]]</f>
        <v>9.719535783365571E-2</v>
      </c>
      <c r="Q282" s="34">
        <f>Rådatakommune[[#This Row],[Eldre67+-O]]/Rådatakommune[[#This Row],[B15-O]]</f>
        <v>0.18036750483558994</v>
      </c>
      <c r="R282" s="34">
        <f>Rådatakommune[[#This Row],[S14-O]]/Rådatakommune[[#This Row],[S04-O]]-1</f>
        <v>0.16184210526315779</v>
      </c>
      <c r="S282" s="34">
        <f>Rådatakommune[[#This Row],[Y14-O]]/Rådatakommune[[#This Row],[Folk20-64-O]]</f>
        <v>0.94639556377079481</v>
      </c>
    </row>
    <row r="283" spans="1:19" x14ac:dyDescent="0.25">
      <c r="A283" s="2" t="s">
        <v>281</v>
      </c>
      <c r="B283" s="37">
        <v>1274</v>
      </c>
      <c r="C283" s="36">
        <v>1262</v>
      </c>
      <c r="D283" s="33">
        <v>654</v>
      </c>
      <c r="E283" s="38">
        <v>240</v>
      </c>
      <c r="F283" s="39">
        <v>110</v>
      </c>
      <c r="G283">
        <v>677</v>
      </c>
      <c r="H283" s="33">
        <v>616</v>
      </c>
      <c r="I283" s="33">
        <v>641</v>
      </c>
      <c r="J283" s="5">
        <v>21.43</v>
      </c>
      <c r="K283" s="40">
        <v>435300</v>
      </c>
      <c r="L283" s="45">
        <v>253.216666667</v>
      </c>
      <c r="M283" s="41">
        <v>11</v>
      </c>
      <c r="N283" s="32">
        <f>Rådatakommune[[#This Row],[B15-O]]/Rådatakommune[[#This Row],[Totalareal2015-O]]</f>
        <v>58.889407372841809</v>
      </c>
      <c r="O283" s="34">
        <f>Rådatakommune[[#This Row],[B15-O]]/Rådatakommune[[#This Row],[B05-O]]-1</f>
        <v>-9.4191522762950841E-3</v>
      </c>
      <c r="P283" s="34">
        <f>Rådatakommune[[#This Row],[Kvinner20-39-O]]/Rådatakommune[[#This Row],[B15-O]]</f>
        <v>8.7163232963549928E-2</v>
      </c>
      <c r="Q283" s="34">
        <f>Rådatakommune[[#This Row],[Eldre67+-O]]/Rådatakommune[[#This Row],[B15-O]]</f>
        <v>0.19017432646592711</v>
      </c>
      <c r="R283" s="34">
        <f>Rådatakommune[[#This Row],[S14-O]]/Rådatakommune[[#This Row],[S04-O]]-1</f>
        <v>4.0584415584415501E-2</v>
      </c>
      <c r="S283" s="34">
        <f>Rådatakommune[[#This Row],[Y14-O]]/Rådatakommune[[#This Row],[Folk20-64-O]]</f>
        <v>0.96602658788773998</v>
      </c>
    </row>
    <row r="284" spans="1:19" x14ac:dyDescent="0.25">
      <c r="A284" s="2" t="s">
        <v>282</v>
      </c>
      <c r="B284" s="37">
        <v>3050</v>
      </c>
      <c r="C284" s="36">
        <v>3466</v>
      </c>
      <c r="D284" s="33">
        <v>1767</v>
      </c>
      <c r="E284" s="38">
        <v>568</v>
      </c>
      <c r="F284" s="39">
        <v>403</v>
      </c>
      <c r="G284">
        <v>1878</v>
      </c>
      <c r="H284" s="33">
        <v>1036</v>
      </c>
      <c r="I284" s="33">
        <v>1493</v>
      </c>
      <c r="J284" s="5">
        <v>59.07</v>
      </c>
      <c r="K284" s="40">
        <v>407800</v>
      </c>
      <c r="L284" s="45">
        <v>186.35</v>
      </c>
      <c r="M284" s="41">
        <v>4</v>
      </c>
      <c r="N284" s="32">
        <f>Rådatakommune[[#This Row],[B15-O]]/Rådatakommune[[#This Row],[Totalareal2015-O]]</f>
        <v>58.676146944303369</v>
      </c>
      <c r="O284" s="34">
        <f>Rådatakommune[[#This Row],[B15-O]]/Rådatakommune[[#This Row],[B05-O]]-1</f>
        <v>0.13639344262295072</v>
      </c>
      <c r="P284" s="34">
        <f>Rådatakommune[[#This Row],[Kvinner20-39-O]]/Rådatakommune[[#This Row],[B15-O]]</f>
        <v>0.11627236006924409</v>
      </c>
      <c r="Q284" s="34">
        <f>Rådatakommune[[#This Row],[Eldre67+-O]]/Rådatakommune[[#This Row],[B15-O]]</f>
        <v>0.16387766878245816</v>
      </c>
      <c r="R284" s="34">
        <f>Rådatakommune[[#This Row],[S14-O]]/Rådatakommune[[#This Row],[S04-O]]-1</f>
        <v>0.44111969111969107</v>
      </c>
      <c r="S284" s="34">
        <f>Rådatakommune[[#This Row],[Y14-O]]/Rådatakommune[[#This Row],[Folk20-64-O]]</f>
        <v>0.9408945686900958</v>
      </c>
    </row>
    <row r="285" spans="1:19" x14ac:dyDescent="0.25">
      <c r="A285" s="2" t="s">
        <v>283</v>
      </c>
      <c r="B285" s="37">
        <v>9023</v>
      </c>
      <c r="C285" s="36">
        <v>9787</v>
      </c>
      <c r="D285" s="33">
        <v>5165</v>
      </c>
      <c r="E285" s="38">
        <v>1414</v>
      </c>
      <c r="F285" s="39">
        <v>1167</v>
      </c>
      <c r="G285">
        <v>5595</v>
      </c>
      <c r="H285" s="33">
        <v>3318</v>
      </c>
      <c r="I285" s="33">
        <v>3507</v>
      </c>
      <c r="J285" s="5">
        <v>369.72</v>
      </c>
      <c r="K285" s="40">
        <v>387000</v>
      </c>
      <c r="L285" s="45">
        <v>166.01666666670002</v>
      </c>
      <c r="M285" s="41">
        <v>4</v>
      </c>
      <c r="N285" s="32">
        <f>Rådatakommune[[#This Row],[B15-O]]/Rådatakommune[[#This Row],[Totalareal2015-O]]</f>
        <v>26.47138374986476</v>
      </c>
      <c r="O285" s="34">
        <f>Rådatakommune[[#This Row],[B15-O]]/Rådatakommune[[#This Row],[B05-O]]-1</f>
        <v>8.4672503601906257E-2</v>
      </c>
      <c r="P285" s="34">
        <f>Rådatakommune[[#This Row],[Kvinner20-39-O]]/Rådatakommune[[#This Row],[B15-O]]</f>
        <v>0.11923980790844999</v>
      </c>
      <c r="Q285" s="34">
        <f>Rådatakommune[[#This Row],[Eldre67+-O]]/Rådatakommune[[#This Row],[B15-O]]</f>
        <v>0.14447736793705937</v>
      </c>
      <c r="R285" s="34">
        <f>Rådatakommune[[#This Row],[S14-O]]/Rådatakommune[[#This Row],[S04-O]]-1</f>
        <v>5.6962025316455778E-2</v>
      </c>
      <c r="S285" s="34">
        <f>Rådatakommune[[#This Row],[Y14-O]]/Rådatakommune[[#This Row],[Folk20-64-O]]</f>
        <v>0.9231456657730116</v>
      </c>
    </row>
    <row r="286" spans="1:19" x14ac:dyDescent="0.25">
      <c r="A286" s="2" t="s">
        <v>284</v>
      </c>
      <c r="B286" s="37">
        <v>3304</v>
      </c>
      <c r="C286" s="36">
        <v>3463</v>
      </c>
      <c r="D286" s="33">
        <v>1822</v>
      </c>
      <c r="E286" s="38">
        <v>504</v>
      </c>
      <c r="F286" s="39">
        <v>392</v>
      </c>
      <c r="G286">
        <v>1939</v>
      </c>
      <c r="H286" s="33">
        <v>1215</v>
      </c>
      <c r="I286" s="33">
        <v>1228</v>
      </c>
      <c r="J286" s="5">
        <v>152.09</v>
      </c>
      <c r="K286" s="40">
        <v>375900</v>
      </c>
      <c r="L286" s="45">
        <v>172.4333333333</v>
      </c>
      <c r="M286" s="41">
        <v>4</v>
      </c>
      <c r="N286" s="32">
        <f>Rådatakommune[[#This Row],[B15-O]]/Rådatakommune[[#This Row],[Totalareal2015-O]]</f>
        <v>22.769412847655992</v>
      </c>
      <c r="O286" s="34">
        <f>Rådatakommune[[#This Row],[B15-O]]/Rådatakommune[[#This Row],[B05-O]]-1</f>
        <v>4.8123486682808636E-2</v>
      </c>
      <c r="P286" s="34">
        <f>Rådatakommune[[#This Row],[Kvinner20-39-O]]/Rådatakommune[[#This Row],[B15-O]]</f>
        <v>0.11319665030320532</v>
      </c>
      <c r="Q286" s="34">
        <f>Rådatakommune[[#This Row],[Eldre67+-O]]/Rådatakommune[[#This Row],[B15-O]]</f>
        <v>0.1455385503898354</v>
      </c>
      <c r="R286" s="34">
        <f>Rådatakommune[[#This Row],[S14-O]]/Rådatakommune[[#This Row],[S04-O]]-1</f>
        <v>1.0699588477366184E-2</v>
      </c>
      <c r="S286" s="34">
        <f>Rådatakommune[[#This Row],[Y14-O]]/Rådatakommune[[#This Row],[Folk20-64-O]]</f>
        <v>0.93965961835997935</v>
      </c>
    </row>
    <row r="287" spans="1:19" x14ac:dyDescent="0.25">
      <c r="A287" s="2" t="s">
        <v>285</v>
      </c>
      <c r="B287" s="37">
        <v>5448</v>
      </c>
      <c r="C287" s="36">
        <v>5794</v>
      </c>
      <c r="D287" s="33">
        <v>2980</v>
      </c>
      <c r="E287" s="38">
        <v>912</v>
      </c>
      <c r="F287" s="39">
        <v>626</v>
      </c>
      <c r="G287">
        <v>3306</v>
      </c>
      <c r="H287" s="33">
        <v>2102</v>
      </c>
      <c r="I287" s="33">
        <v>2260</v>
      </c>
      <c r="J287" s="5">
        <v>175.28</v>
      </c>
      <c r="K287" s="40">
        <v>400800</v>
      </c>
      <c r="L287" s="45">
        <v>173.5</v>
      </c>
      <c r="M287" s="41">
        <v>5</v>
      </c>
      <c r="N287" s="32">
        <f>Rådatakommune[[#This Row],[B15-O]]/Rådatakommune[[#This Row],[Totalareal2015-O]]</f>
        <v>33.055682336832497</v>
      </c>
      <c r="O287" s="34">
        <f>Rådatakommune[[#This Row],[B15-O]]/Rådatakommune[[#This Row],[B05-O]]-1</f>
        <v>6.3509544787077932E-2</v>
      </c>
      <c r="P287" s="34">
        <f>Rådatakommune[[#This Row],[Kvinner20-39-O]]/Rådatakommune[[#This Row],[B15-O]]</f>
        <v>0.10804280289955126</v>
      </c>
      <c r="Q287" s="34">
        <f>Rådatakommune[[#This Row],[Eldre67+-O]]/Rådatakommune[[#This Row],[B15-O]]</f>
        <v>0.15740421125302037</v>
      </c>
      <c r="R287" s="34">
        <f>Rådatakommune[[#This Row],[S14-O]]/Rådatakommune[[#This Row],[S04-O]]-1</f>
        <v>7.5166508087535666E-2</v>
      </c>
      <c r="S287" s="34">
        <f>Rådatakommune[[#This Row],[Y14-O]]/Rådatakommune[[#This Row],[Folk20-64-O]]</f>
        <v>0.90139140955837871</v>
      </c>
    </row>
    <row r="288" spans="1:19" x14ac:dyDescent="0.25">
      <c r="A288" s="2" t="s">
        <v>286</v>
      </c>
      <c r="B288" s="37">
        <v>2700</v>
      </c>
      <c r="C288" s="36">
        <v>2580</v>
      </c>
      <c r="D288" s="33">
        <v>1346</v>
      </c>
      <c r="E288" s="38">
        <v>458</v>
      </c>
      <c r="F288" s="39">
        <v>261</v>
      </c>
      <c r="G288">
        <v>1423</v>
      </c>
      <c r="H288" s="33">
        <v>815</v>
      </c>
      <c r="I288" s="33">
        <v>820</v>
      </c>
      <c r="J288" s="5">
        <v>381.63</v>
      </c>
      <c r="K288" s="40">
        <v>390700</v>
      </c>
      <c r="L288" s="45">
        <v>175.98333333329998</v>
      </c>
      <c r="M288" s="41">
        <v>4</v>
      </c>
      <c r="N288" s="32">
        <f>Rådatakommune[[#This Row],[B15-O]]/Rådatakommune[[#This Row],[Totalareal2015-O]]</f>
        <v>6.7604748054398236</v>
      </c>
      <c r="O288" s="34">
        <f>Rådatakommune[[#This Row],[B15-O]]/Rådatakommune[[#This Row],[B05-O]]-1</f>
        <v>-4.4444444444444398E-2</v>
      </c>
      <c r="P288" s="34">
        <f>Rådatakommune[[#This Row],[Kvinner20-39-O]]/Rådatakommune[[#This Row],[B15-O]]</f>
        <v>0.10116279069767442</v>
      </c>
      <c r="Q288" s="34">
        <f>Rådatakommune[[#This Row],[Eldre67+-O]]/Rådatakommune[[#This Row],[B15-O]]</f>
        <v>0.17751937984496124</v>
      </c>
      <c r="R288" s="34">
        <f>Rådatakommune[[#This Row],[S14-O]]/Rådatakommune[[#This Row],[S04-O]]-1</f>
        <v>6.1349693251533388E-3</v>
      </c>
      <c r="S288" s="34">
        <f>Rådatakommune[[#This Row],[Y14-O]]/Rådatakommune[[#This Row],[Folk20-64-O]]</f>
        <v>0.94588896697118763</v>
      </c>
    </row>
    <row r="289" spans="1:19" x14ac:dyDescent="0.25">
      <c r="A289" s="2" t="s">
        <v>287</v>
      </c>
      <c r="B289" s="37">
        <v>3105</v>
      </c>
      <c r="C289" s="36">
        <v>3090</v>
      </c>
      <c r="D289" s="33">
        <v>1490</v>
      </c>
      <c r="E289" s="38">
        <v>620</v>
      </c>
      <c r="F289" s="39">
        <v>294</v>
      </c>
      <c r="G289">
        <v>1706</v>
      </c>
      <c r="H289" s="33">
        <v>1062</v>
      </c>
      <c r="I289" s="33">
        <v>1042</v>
      </c>
      <c r="J289" s="5">
        <v>336.76</v>
      </c>
      <c r="K289" s="40">
        <v>341900</v>
      </c>
      <c r="L289" s="45">
        <v>195.1666666667</v>
      </c>
      <c r="M289" s="41">
        <v>5</v>
      </c>
      <c r="N289" s="32">
        <f>Rådatakommune[[#This Row],[B15-O]]/Rådatakommune[[#This Row],[Totalareal2015-O]]</f>
        <v>9.1756740705546971</v>
      </c>
      <c r="O289" s="34">
        <f>Rådatakommune[[#This Row],[B15-O]]/Rådatakommune[[#This Row],[B05-O]]-1</f>
        <v>-4.8309178743961567E-3</v>
      </c>
      <c r="P289" s="34">
        <f>Rådatakommune[[#This Row],[Kvinner20-39-O]]/Rådatakommune[[#This Row],[B15-O]]</f>
        <v>9.5145631067961159E-2</v>
      </c>
      <c r="Q289" s="34">
        <f>Rådatakommune[[#This Row],[Eldre67+-O]]/Rådatakommune[[#This Row],[B15-O]]</f>
        <v>0.20064724919093851</v>
      </c>
      <c r="R289" s="34">
        <f>Rådatakommune[[#This Row],[S14-O]]/Rådatakommune[[#This Row],[S04-O]]-1</f>
        <v>-1.883239171374762E-2</v>
      </c>
      <c r="S289" s="34">
        <f>Rådatakommune[[#This Row],[Y14-O]]/Rådatakommune[[#This Row],[Folk20-64-O]]</f>
        <v>0.87338804220398591</v>
      </c>
    </row>
    <row r="290" spans="1:19" x14ac:dyDescent="0.25">
      <c r="A290" s="2" t="s">
        <v>288</v>
      </c>
      <c r="B290" s="37">
        <v>7370</v>
      </c>
      <c r="C290" s="36">
        <v>7155</v>
      </c>
      <c r="D290" s="33">
        <v>3392</v>
      </c>
      <c r="E290" s="38">
        <v>1236</v>
      </c>
      <c r="F290" s="39">
        <v>691</v>
      </c>
      <c r="G290">
        <v>4087</v>
      </c>
      <c r="H290" s="33">
        <v>3813</v>
      </c>
      <c r="I290" s="33">
        <v>3641</v>
      </c>
      <c r="J290" s="5">
        <v>1713.44</v>
      </c>
      <c r="K290" s="40">
        <v>365200</v>
      </c>
      <c r="L290" s="45">
        <v>219.6</v>
      </c>
      <c r="M290" s="41">
        <v>9</v>
      </c>
      <c r="N290" s="32">
        <f>Rådatakommune[[#This Row],[B15-O]]/Rådatakommune[[#This Row],[Totalareal2015-O]]</f>
        <v>4.1758100662993742</v>
      </c>
      <c r="O290" s="34">
        <f>Rådatakommune[[#This Row],[B15-O]]/Rådatakommune[[#This Row],[B05-O]]-1</f>
        <v>-2.917232021709637E-2</v>
      </c>
      <c r="P290" s="34">
        <f>Rådatakommune[[#This Row],[Kvinner20-39-O]]/Rådatakommune[[#This Row],[B15-O]]</f>
        <v>9.6575821104122994E-2</v>
      </c>
      <c r="Q290" s="34">
        <f>Rådatakommune[[#This Row],[Eldre67+-O]]/Rådatakommune[[#This Row],[B15-O]]</f>
        <v>0.17274633123689728</v>
      </c>
      <c r="R290" s="34">
        <f>Rådatakommune[[#This Row],[S14-O]]/Rådatakommune[[#This Row],[S04-O]]-1</f>
        <v>-4.5108838185156097E-2</v>
      </c>
      <c r="S290" s="34">
        <f>Rådatakommune[[#This Row],[Y14-O]]/Rådatakommune[[#This Row],[Folk20-64-O]]</f>
        <v>0.82994861756789817</v>
      </c>
    </row>
    <row r="291" spans="1:19" x14ac:dyDescent="0.25">
      <c r="A291" s="2" t="s">
        <v>289</v>
      </c>
      <c r="B291" s="37">
        <v>6160</v>
      </c>
      <c r="C291" s="36">
        <v>5976</v>
      </c>
      <c r="D291" s="33">
        <v>3037</v>
      </c>
      <c r="E291" s="38">
        <v>1103</v>
      </c>
      <c r="F291" s="39">
        <v>585</v>
      </c>
      <c r="G291">
        <v>3309</v>
      </c>
      <c r="H291" s="33">
        <v>2746</v>
      </c>
      <c r="I291" s="33">
        <v>2840</v>
      </c>
      <c r="J291" s="5">
        <v>1365.31</v>
      </c>
      <c r="K291" s="40">
        <v>343800</v>
      </c>
      <c r="L291" s="45">
        <v>242.6666666667</v>
      </c>
      <c r="M291" s="41">
        <v>9</v>
      </c>
      <c r="N291" s="32">
        <f>Rådatakommune[[#This Row],[B15-O]]/Rådatakommune[[#This Row],[Totalareal2015-O]]</f>
        <v>4.3770279277233746</v>
      </c>
      <c r="O291" s="34">
        <f>Rådatakommune[[#This Row],[B15-O]]/Rådatakommune[[#This Row],[B05-O]]-1</f>
        <v>-2.9870129870129825E-2</v>
      </c>
      <c r="P291" s="34">
        <f>Rådatakommune[[#This Row],[Kvinner20-39-O]]/Rådatakommune[[#This Row],[B15-O]]</f>
        <v>9.7891566265060237E-2</v>
      </c>
      <c r="Q291" s="34">
        <f>Rådatakommune[[#This Row],[Eldre67+-O]]/Rådatakommune[[#This Row],[B15-O]]</f>
        <v>0.18457161981258366</v>
      </c>
      <c r="R291" s="34">
        <f>Rådatakommune[[#This Row],[S14-O]]/Rådatakommune[[#This Row],[S04-O]]-1</f>
        <v>3.4231609613984082E-2</v>
      </c>
      <c r="S291" s="34">
        <f>Rådatakommune[[#This Row],[Y14-O]]/Rådatakommune[[#This Row],[Folk20-64-O]]</f>
        <v>0.91779993955877903</v>
      </c>
    </row>
    <row r="292" spans="1:19" x14ac:dyDescent="0.25">
      <c r="A292" s="2" t="s">
        <v>290</v>
      </c>
      <c r="B292" s="37">
        <v>2101</v>
      </c>
      <c r="C292" s="36">
        <v>2038</v>
      </c>
      <c r="D292" s="33">
        <v>1053</v>
      </c>
      <c r="E292" s="38">
        <v>414</v>
      </c>
      <c r="F292" s="39">
        <v>197</v>
      </c>
      <c r="G292">
        <v>1056</v>
      </c>
      <c r="H292" s="33">
        <v>927</v>
      </c>
      <c r="I292" s="33">
        <v>922</v>
      </c>
      <c r="J292" s="5">
        <v>631.82999999999993</v>
      </c>
      <c r="K292" s="40">
        <v>347400</v>
      </c>
      <c r="L292" s="45">
        <v>252.3166666667</v>
      </c>
      <c r="M292" s="41">
        <v>9</v>
      </c>
      <c r="N292" s="32">
        <f>Rådatakommune[[#This Row],[B15-O]]/Rådatakommune[[#This Row],[Totalareal2015-O]]</f>
        <v>3.2255511767405793</v>
      </c>
      <c r="O292" s="34">
        <f>Rådatakommune[[#This Row],[B15-O]]/Rådatakommune[[#This Row],[B05-O]]-1</f>
        <v>-2.9985721085197481E-2</v>
      </c>
      <c r="P292" s="34">
        <f>Rådatakommune[[#This Row],[Kvinner20-39-O]]/Rådatakommune[[#This Row],[B15-O]]</f>
        <v>9.6663395485770368E-2</v>
      </c>
      <c r="Q292" s="34">
        <f>Rådatakommune[[#This Row],[Eldre67+-O]]/Rådatakommune[[#This Row],[B15-O]]</f>
        <v>0.20314033366045142</v>
      </c>
      <c r="R292" s="34">
        <f>Rådatakommune[[#This Row],[S14-O]]/Rådatakommune[[#This Row],[S04-O]]-1</f>
        <v>-5.3937432578209377E-3</v>
      </c>
      <c r="S292" s="34">
        <f>Rådatakommune[[#This Row],[Y14-O]]/Rådatakommune[[#This Row],[Folk20-64-O]]</f>
        <v>0.99715909090909094</v>
      </c>
    </row>
    <row r="293" spans="1:19" x14ac:dyDescent="0.25">
      <c r="A293" s="2" t="s">
        <v>291</v>
      </c>
      <c r="B293" s="37">
        <v>1697</v>
      </c>
      <c r="C293" s="36">
        <v>1563</v>
      </c>
      <c r="D293" s="33">
        <v>773</v>
      </c>
      <c r="E293" s="38">
        <v>346</v>
      </c>
      <c r="F293" s="39">
        <v>140</v>
      </c>
      <c r="G293">
        <v>828</v>
      </c>
      <c r="H293" s="33">
        <v>730</v>
      </c>
      <c r="I293" s="33">
        <v>642</v>
      </c>
      <c r="J293" s="5">
        <v>300.53000000000003</v>
      </c>
      <c r="K293" s="40">
        <v>348100</v>
      </c>
      <c r="L293" s="45">
        <v>221.3</v>
      </c>
      <c r="M293" s="41">
        <v>9</v>
      </c>
      <c r="N293" s="32">
        <f>Rådatakommune[[#This Row],[B15-O]]/Rådatakommune[[#This Row],[Totalareal2015-O]]</f>
        <v>5.2008118989784711</v>
      </c>
      <c r="O293" s="34">
        <f>Rådatakommune[[#This Row],[B15-O]]/Rådatakommune[[#This Row],[B05-O]]-1</f>
        <v>-7.8962875662934584E-2</v>
      </c>
      <c r="P293" s="34">
        <f>Rådatakommune[[#This Row],[Kvinner20-39-O]]/Rådatakommune[[#This Row],[B15-O]]</f>
        <v>8.9571337172104928E-2</v>
      </c>
      <c r="Q293" s="34">
        <f>Rådatakommune[[#This Row],[Eldre67+-O]]/Rådatakommune[[#This Row],[B15-O]]</f>
        <v>0.22136916186820219</v>
      </c>
      <c r="R293" s="34">
        <f>Rådatakommune[[#This Row],[S14-O]]/Rådatakommune[[#This Row],[S04-O]]-1</f>
        <v>-0.1205479452054794</v>
      </c>
      <c r="S293" s="34">
        <f>Rådatakommune[[#This Row],[Y14-O]]/Rådatakommune[[#This Row],[Folk20-64-O]]</f>
        <v>0.93357487922705318</v>
      </c>
    </row>
    <row r="294" spans="1:19" x14ac:dyDescent="0.25">
      <c r="A294" s="2" t="s">
        <v>292</v>
      </c>
      <c r="B294" s="37">
        <v>2195</v>
      </c>
      <c r="C294" s="36">
        <v>2146</v>
      </c>
      <c r="D294" s="33">
        <v>1106</v>
      </c>
      <c r="E294" s="38">
        <v>435</v>
      </c>
      <c r="F294" s="39">
        <v>223</v>
      </c>
      <c r="G294">
        <v>1223</v>
      </c>
      <c r="H294" s="33">
        <v>915</v>
      </c>
      <c r="I294" s="33">
        <v>1035</v>
      </c>
      <c r="J294" s="5">
        <v>271.90999999999997</v>
      </c>
      <c r="K294" s="40">
        <v>368700</v>
      </c>
      <c r="L294" s="45">
        <v>232.01666666670002</v>
      </c>
      <c r="M294" s="41">
        <v>11</v>
      </c>
      <c r="N294" s="32">
        <f>Rådatakommune[[#This Row],[B15-O]]/Rådatakommune[[#This Row],[Totalareal2015-O]]</f>
        <v>7.8923173108749225</v>
      </c>
      <c r="O294" s="34">
        <f>Rådatakommune[[#This Row],[B15-O]]/Rådatakommune[[#This Row],[B05-O]]-1</f>
        <v>-2.232346241457861E-2</v>
      </c>
      <c r="P294" s="34">
        <f>Rådatakommune[[#This Row],[Kvinner20-39-O]]/Rådatakommune[[#This Row],[B15-O]]</f>
        <v>0.10391425908667289</v>
      </c>
      <c r="Q294" s="34">
        <f>Rådatakommune[[#This Row],[Eldre67+-O]]/Rådatakommune[[#This Row],[B15-O]]</f>
        <v>0.20270270270270271</v>
      </c>
      <c r="R294" s="34">
        <f>Rådatakommune[[#This Row],[S14-O]]/Rådatakommune[[#This Row],[S04-O]]-1</f>
        <v>0.13114754098360648</v>
      </c>
      <c r="S294" s="34">
        <f>Rådatakommune[[#This Row],[Y14-O]]/Rådatakommune[[#This Row],[Folk20-64-O]]</f>
        <v>0.90433360588716272</v>
      </c>
    </row>
    <row r="295" spans="1:19" x14ac:dyDescent="0.25">
      <c r="A295" s="2" t="s">
        <v>293</v>
      </c>
      <c r="B295" s="37">
        <v>3626</v>
      </c>
      <c r="C295" s="36">
        <v>3549</v>
      </c>
      <c r="D295" s="33">
        <v>1788</v>
      </c>
      <c r="E295" s="38">
        <v>696</v>
      </c>
      <c r="F295" s="39">
        <v>325</v>
      </c>
      <c r="G295">
        <v>1957</v>
      </c>
      <c r="H295" s="42">
        <v>1527</v>
      </c>
      <c r="I295" s="33">
        <v>1571</v>
      </c>
      <c r="J295" s="5">
        <v>641.37</v>
      </c>
      <c r="K295" s="40">
        <v>365300</v>
      </c>
      <c r="L295" s="45">
        <v>221.71666666670001</v>
      </c>
      <c r="M295" s="41">
        <v>11</v>
      </c>
      <c r="N295" s="32">
        <f>Rådatakommune[[#This Row],[B15-O]]/Rådatakommune[[#This Row],[Totalareal2015-O]]</f>
        <v>5.5334674213012773</v>
      </c>
      <c r="O295" s="34">
        <f>Rådatakommune[[#This Row],[B15-O]]/Rådatakommune[[#This Row],[B05-O]]-1</f>
        <v>-2.1235521235521193E-2</v>
      </c>
      <c r="P295" s="34">
        <f>Rådatakommune[[#This Row],[Kvinner20-39-O]]/Rådatakommune[[#This Row],[B15-O]]</f>
        <v>9.1575091575091569E-2</v>
      </c>
      <c r="Q295" s="34">
        <f>Rådatakommune[[#This Row],[Eldre67+-O]]/Rådatakommune[[#This Row],[B15-O]]</f>
        <v>0.19611158072696533</v>
      </c>
      <c r="R295" s="34">
        <f>Rådatakommune[[#This Row],[S14-O]]/Rådatakommune[[#This Row],[S04-O]]-1</f>
        <v>2.8814669286182149E-2</v>
      </c>
      <c r="S295" s="34">
        <f>Rådatakommune[[#This Row],[Y14-O]]/Rådatakommune[[#This Row],[Folk20-64-O]]</f>
        <v>0.91364333163004596</v>
      </c>
    </row>
    <row r="296" spans="1:19" x14ac:dyDescent="0.25">
      <c r="A296" s="2" t="s">
        <v>294</v>
      </c>
      <c r="B296" s="37">
        <v>156161</v>
      </c>
      <c r="C296" s="36">
        <v>184960</v>
      </c>
      <c r="D296" s="33">
        <v>98708</v>
      </c>
      <c r="E296" s="38">
        <v>21849</v>
      </c>
      <c r="F296" s="39">
        <v>28526</v>
      </c>
      <c r="G296">
        <v>116906</v>
      </c>
      <c r="H296" s="33">
        <v>94119</v>
      </c>
      <c r="I296" s="33">
        <v>114321</v>
      </c>
      <c r="J296" s="5">
        <v>341.19</v>
      </c>
      <c r="K296" s="40">
        <v>407500</v>
      </c>
      <c r="L296" s="45">
        <v>179.28333333329999</v>
      </c>
      <c r="M296" s="41">
        <v>2</v>
      </c>
      <c r="N296" s="32">
        <f>Rådatakommune[[#This Row],[B15-O]]/Rådatakommune[[#This Row],[Totalareal2015-O]]</f>
        <v>542.10264075734926</v>
      </c>
      <c r="O296" s="34">
        <f>Rådatakommune[[#This Row],[B15-O]]/Rådatakommune[[#This Row],[B05-O]]-1</f>
        <v>0.18441864486011239</v>
      </c>
      <c r="P296" s="34">
        <f>Rådatakommune[[#This Row],[Kvinner20-39-O]]/Rådatakommune[[#This Row],[B15-O]]</f>
        <v>0.1542279411764706</v>
      </c>
      <c r="Q296" s="34">
        <f>Rådatakommune[[#This Row],[Eldre67+-O]]/Rådatakommune[[#This Row],[B15-O]]</f>
        <v>0.11812824394463668</v>
      </c>
      <c r="R296" s="34">
        <f>Rådatakommune[[#This Row],[S14-O]]/Rådatakommune[[#This Row],[S04-O]]-1</f>
        <v>0.21464316450451015</v>
      </c>
      <c r="S296" s="34">
        <f>Rådatakommune[[#This Row],[Y14-O]]/Rådatakommune[[#This Row],[Folk20-64-O]]</f>
        <v>0.84433647545891566</v>
      </c>
    </row>
    <row r="297" spans="1:19" x14ac:dyDescent="0.25">
      <c r="A297" s="2" t="s">
        <v>295</v>
      </c>
      <c r="B297" s="37">
        <v>4277</v>
      </c>
      <c r="C297" s="36">
        <v>4254</v>
      </c>
      <c r="D297" s="33">
        <v>2082</v>
      </c>
      <c r="E297" s="38">
        <v>772</v>
      </c>
      <c r="F297" s="39">
        <v>451</v>
      </c>
      <c r="G297">
        <v>2328</v>
      </c>
      <c r="H297" s="33">
        <v>1733</v>
      </c>
      <c r="I297" s="33">
        <v>2018</v>
      </c>
      <c r="J297" s="5">
        <v>669.61999999999989</v>
      </c>
      <c r="K297" s="40">
        <v>364200</v>
      </c>
      <c r="L297" s="45">
        <v>251.4166666667</v>
      </c>
      <c r="M297" s="41">
        <v>9</v>
      </c>
      <c r="N297" s="32">
        <f>Rådatakommune[[#This Row],[B15-O]]/Rådatakommune[[#This Row],[Totalareal2015-O]]</f>
        <v>6.3528568441802822</v>
      </c>
      <c r="O297" s="34">
        <f>Rådatakommune[[#This Row],[B15-O]]/Rådatakommune[[#This Row],[B05-O]]-1</f>
        <v>-5.3776011222820275E-3</v>
      </c>
      <c r="P297" s="34">
        <f>Rådatakommune[[#This Row],[Kvinner20-39-O]]/Rådatakommune[[#This Row],[B15-O]]</f>
        <v>0.10601786553831688</v>
      </c>
      <c r="Q297" s="34">
        <f>Rådatakommune[[#This Row],[Eldre67+-O]]/Rådatakommune[[#This Row],[B15-O]]</f>
        <v>0.18147625763986835</v>
      </c>
      <c r="R297" s="34">
        <f>Rådatakommune[[#This Row],[S14-O]]/Rådatakommune[[#This Row],[S04-O]]-1</f>
        <v>0.16445470282746677</v>
      </c>
      <c r="S297" s="34">
        <f>Rådatakommune[[#This Row],[Y14-O]]/Rådatakommune[[#This Row],[Folk20-64-O]]</f>
        <v>0.89432989690721654</v>
      </c>
    </row>
    <row r="298" spans="1:19" x14ac:dyDescent="0.25">
      <c r="A298" s="2" t="s">
        <v>296</v>
      </c>
      <c r="B298" s="37">
        <v>1026</v>
      </c>
      <c r="C298" s="36">
        <v>982</v>
      </c>
      <c r="D298" s="33">
        <v>506</v>
      </c>
      <c r="E298" s="38">
        <v>198</v>
      </c>
      <c r="F298" s="39">
        <v>88</v>
      </c>
      <c r="G298">
        <v>553</v>
      </c>
      <c r="H298" s="33">
        <v>371</v>
      </c>
      <c r="I298" s="33">
        <v>369</v>
      </c>
      <c r="J298" s="5">
        <v>508.12</v>
      </c>
      <c r="K298" s="40">
        <v>349000</v>
      </c>
      <c r="L298" s="45">
        <v>234.78333333329999</v>
      </c>
      <c r="M298" s="41">
        <v>5</v>
      </c>
      <c r="N298" s="32">
        <f>Rådatakommune[[#This Row],[B15-O]]/Rådatakommune[[#This Row],[Totalareal2015-O]]</f>
        <v>1.9326143430685665</v>
      </c>
      <c r="O298" s="34">
        <f>Rådatakommune[[#This Row],[B15-O]]/Rådatakommune[[#This Row],[B05-O]]-1</f>
        <v>-4.2884990253411304E-2</v>
      </c>
      <c r="P298" s="34">
        <f>Rådatakommune[[#This Row],[Kvinner20-39-O]]/Rådatakommune[[#This Row],[B15-O]]</f>
        <v>8.9613034623217916E-2</v>
      </c>
      <c r="Q298" s="34">
        <f>Rådatakommune[[#This Row],[Eldre67+-O]]/Rådatakommune[[#This Row],[B15-O]]</f>
        <v>0.20162932790224034</v>
      </c>
      <c r="R298" s="34">
        <f>Rådatakommune[[#This Row],[S14-O]]/Rådatakommune[[#This Row],[S04-O]]-1</f>
        <v>-5.3908355795148077E-3</v>
      </c>
      <c r="S298" s="34">
        <f>Rådatakommune[[#This Row],[Y14-O]]/Rådatakommune[[#This Row],[Folk20-64-O]]</f>
        <v>0.91500904159132013</v>
      </c>
    </row>
    <row r="299" spans="1:19" x14ac:dyDescent="0.25">
      <c r="A299" s="2" t="s">
        <v>297</v>
      </c>
      <c r="B299" s="37">
        <v>4025</v>
      </c>
      <c r="C299" s="36">
        <v>4569</v>
      </c>
      <c r="D299" s="33">
        <v>2437</v>
      </c>
      <c r="E299" s="38">
        <v>786</v>
      </c>
      <c r="F299" s="39">
        <v>534</v>
      </c>
      <c r="G299">
        <v>2655</v>
      </c>
      <c r="H299" s="33">
        <v>1875</v>
      </c>
      <c r="I299" s="33">
        <v>2473</v>
      </c>
      <c r="J299" s="5">
        <v>680.21</v>
      </c>
      <c r="K299" s="40">
        <v>348600</v>
      </c>
      <c r="L299" s="45">
        <v>279.133333333</v>
      </c>
      <c r="M299" s="41">
        <v>10</v>
      </c>
      <c r="N299" s="32">
        <f>Rådatakommune[[#This Row],[B15-O]]/Rådatakommune[[#This Row],[Totalareal2015-O]]</f>
        <v>6.7170432660501902</v>
      </c>
      <c r="O299" s="34">
        <f>Rådatakommune[[#This Row],[B15-O]]/Rådatakommune[[#This Row],[B05-O]]-1</f>
        <v>0.13515527950310569</v>
      </c>
      <c r="P299" s="34">
        <f>Rådatakommune[[#This Row],[Kvinner20-39-O]]/Rådatakommune[[#This Row],[B15-O]]</f>
        <v>0.11687458962573867</v>
      </c>
      <c r="Q299" s="34">
        <f>Rådatakommune[[#This Row],[Eldre67+-O]]/Rådatakommune[[#This Row],[B15-O]]</f>
        <v>0.17202889034799737</v>
      </c>
      <c r="R299" s="34">
        <f>Rådatakommune[[#This Row],[S14-O]]/Rådatakommune[[#This Row],[S04-O]]-1</f>
        <v>0.31893333333333329</v>
      </c>
      <c r="S299" s="34">
        <f>Rådatakommune[[#This Row],[Y14-O]]/Rådatakommune[[#This Row],[Folk20-64-O]]</f>
        <v>0.91789077212806025</v>
      </c>
    </row>
    <row r="300" spans="1:19" x14ac:dyDescent="0.25">
      <c r="A300" s="2" t="s">
        <v>298</v>
      </c>
      <c r="B300" s="37">
        <v>4114</v>
      </c>
      <c r="C300" s="36">
        <v>4634</v>
      </c>
      <c r="D300" s="33">
        <v>2449</v>
      </c>
      <c r="E300" s="38">
        <v>715</v>
      </c>
      <c r="F300" s="39">
        <v>571</v>
      </c>
      <c r="G300">
        <v>2723</v>
      </c>
      <c r="H300" s="33">
        <v>1924</v>
      </c>
      <c r="I300" s="33">
        <v>2537</v>
      </c>
      <c r="J300" s="5">
        <v>240.70000000000002</v>
      </c>
      <c r="K300" s="40">
        <v>386000</v>
      </c>
      <c r="L300" s="45">
        <v>303.64999999999998</v>
      </c>
      <c r="M300" s="41">
        <v>10</v>
      </c>
      <c r="N300" s="32">
        <f>Rådatakommune[[#This Row],[B15-O]]/Rådatakommune[[#This Row],[Totalareal2015-O]]</f>
        <v>19.252181138346486</v>
      </c>
      <c r="O300" s="34">
        <f>Rådatakommune[[#This Row],[B15-O]]/Rådatakommune[[#This Row],[B05-O]]-1</f>
        <v>0.12639766650461848</v>
      </c>
      <c r="P300" s="34">
        <f>Rådatakommune[[#This Row],[Kvinner20-39-O]]/Rådatakommune[[#This Row],[B15-O]]</f>
        <v>0.12321968062149331</v>
      </c>
      <c r="Q300" s="34">
        <f>Rådatakommune[[#This Row],[Eldre67+-O]]/Rådatakommune[[#This Row],[B15-O]]</f>
        <v>0.15429434613724644</v>
      </c>
      <c r="R300" s="34">
        <f>Rådatakommune[[#This Row],[S14-O]]/Rådatakommune[[#This Row],[S04-O]]-1</f>
        <v>0.31860706860706856</v>
      </c>
      <c r="S300" s="34">
        <f>Rådatakommune[[#This Row],[Y14-O]]/Rådatakommune[[#This Row],[Folk20-64-O]]</f>
        <v>0.89937568857877337</v>
      </c>
    </row>
    <row r="301" spans="1:19" x14ac:dyDescent="0.25">
      <c r="A301" s="2" t="s">
        <v>299</v>
      </c>
      <c r="B301" s="37">
        <v>5136</v>
      </c>
      <c r="C301" s="36">
        <v>5183</v>
      </c>
      <c r="D301" s="33">
        <v>2658</v>
      </c>
      <c r="E301" s="38">
        <v>864</v>
      </c>
      <c r="F301" s="39">
        <v>577</v>
      </c>
      <c r="G301">
        <v>2995</v>
      </c>
      <c r="H301" s="33">
        <v>2511</v>
      </c>
      <c r="I301" s="33">
        <v>2593</v>
      </c>
      <c r="J301" s="5">
        <v>73.179999999999993</v>
      </c>
      <c r="K301" s="40">
        <v>365900</v>
      </c>
      <c r="L301" s="45">
        <v>275.8</v>
      </c>
      <c r="M301" s="41">
        <v>10</v>
      </c>
      <c r="N301" s="32">
        <f>Rådatakommune[[#This Row],[B15-O]]/Rådatakommune[[#This Row],[Totalareal2015-O]]</f>
        <v>70.825362120798033</v>
      </c>
      <c r="O301" s="34">
        <f>Rådatakommune[[#This Row],[B15-O]]/Rådatakommune[[#This Row],[B05-O]]-1</f>
        <v>9.1510903426790247E-3</v>
      </c>
      <c r="P301" s="34">
        <f>Rådatakommune[[#This Row],[Kvinner20-39-O]]/Rådatakommune[[#This Row],[B15-O]]</f>
        <v>0.1113254871695929</v>
      </c>
      <c r="Q301" s="34">
        <f>Rådatakommune[[#This Row],[Eldre67+-O]]/Rådatakommune[[#This Row],[B15-O]]</f>
        <v>0.16669882307543893</v>
      </c>
      <c r="R301" s="34">
        <f>Rådatakommune[[#This Row],[S14-O]]/Rådatakommune[[#This Row],[S04-O]]-1</f>
        <v>3.2656312226204687E-2</v>
      </c>
      <c r="S301" s="34">
        <f>Rådatakommune[[#This Row],[Y14-O]]/Rådatakommune[[#This Row],[Folk20-64-O]]</f>
        <v>0.88747913188647742</v>
      </c>
    </row>
    <row r="302" spans="1:19" x14ac:dyDescent="0.25">
      <c r="A302" s="2" t="s">
        <v>300</v>
      </c>
      <c r="B302" s="37">
        <v>1799</v>
      </c>
      <c r="C302" s="36">
        <v>1770</v>
      </c>
      <c r="D302" s="33">
        <v>880</v>
      </c>
      <c r="E302" s="38">
        <v>389</v>
      </c>
      <c r="F302" s="39">
        <v>163</v>
      </c>
      <c r="G302">
        <v>950</v>
      </c>
      <c r="H302" s="33">
        <v>686</v>
      </c>
      <c r="I302" s="33">
        <v>696</v>
      </c>
      <c r="J302" s="5">
        <v>317.26000000000005</v>
      </c>
      <c r="K302" s="40">
        <v>339300</v>
      </c>
      <c r="L302" s="45">
        <v>235.45</v>
      </c>
      <c r="M302" s="41">
        <v>5</v>
      </c>
      <c r="N302" s="32">
        <f>Rådatakommune[[#This Row],[B15-O]]/Rådatakommune[[#This Row],[Totalareal2015-O]]</f>
        <v>5.5790203618483254</v>
      </c>
      <c r="O302" s="34">
        <f>Rådatakommune[[#This Row],[B15-O]]/Rådatakommune[[#This Row],[B05-O]]-1</f>
        <v>-1.6120066703724345E-2</v>
      </c>
      <c r="P302" s="34">
        <f>Rådatakommune[[#This Row],[Kvinner20-39-O]]/Rådatakommune[[#This Row],[B15-O]]</f>
        <v>9.2090395480225989E-2</v>
      </c>
      <c r="Q302" s="34">
        <f>Rådatakommune[[#This Row],[Eldre67+-O]]/Rådatakommune[[#This Row],[B15-O]]</f>
        <v>0.21977401129943502</v>
      </c>
      <c r="R302" s="34">
        <f>Rådatakommune[[#This Row],[S14-O]]/Rådatakommune[[#This Row],[S04-O]]-1</f>
        <v>1.4577259475218707E-2</v>
      </c>
      <c r="S302" s="34">
        <f>Rådatakommune[[#This Row],[Y14-O]]/Rådatakommune[[#This Row],[Folk20-64-O]]</f>
        <v>0.9263157894736842</v>
      </c>
    </row>
    <row r="303" spans="1:19" x14ac:dyDescent="0.25">
      <c r="A303" s="2" t="s">
        <v>301</v>
      </c>
      <c r="B303" s="37">
        <v>6433</v>
      </c>
      <c r="C303" s="36">
        <v>6676</v>
      </c>
      <c r="D303" s="33">
        <v>3228</v>
      </c>
      <c r="E303" s="38">
        <v>1158</v>
      </c>
      <c r="F303" s="39">
        <v>688</v>
      </c>
      <c r="G303">
        <v>3715</v>
      </c>
      <c r="H303" s="33">
        <v>2534</v>
      </c>
      <c r="I303" s="33">
        <v>2883</v>
      </c>
      <c r="J303" s="5">
        <v>615.56000000000006</v>
      </c>
      <c r="K303" s="40">
        <v>351100</v>
      </c>
      <c r="L303" s="45">
        <v>239.8333333333</v>
      </c>
      <c r="M303" s="41">
        <v>2</v>
      </c>
      <c r="N303" s="32">
        <f>Rådatakommune[[#This Row],[B15-O]]/Rådatakommune[[#This Row],[Totalareal2015-O]]</f>
        <v>10.845409058418349</v>
      </c>
      <c r="O303" s="34">
        <f>Rådatakommune[[#This Row],[B15-O]]/Rådatakommune[[#This Row],[B05-O]]-1</f>
        <v>3.7773977926317315E-2</v>
      </c>
      <c r="P303" s="34">
        <f>Rådatakommune[[#This Row],[Kvinner20-39-O]]/Rådatakommune[[#This Row],[B15-O]]</f>
        <v>0.1030557219892151</v>
      </c>
      <c r="Q303" s="34">
        <f>Rådatakommune[[#This Row],[Eldre67+-O]]/Rådatakommune[[#This Row],[B15-O]]</f>
        <v>0.17345715997603356</v>
      </c>
      <c r="R303" s="34">
        <f>Rådatakommune[[#This Row],[S14-O]]/Rådatakommune[[#This Row],[S04-O]]-1</f>
        <v>0.13772691397000791</v>
      </c>
      <c r="S303" s="34">
        <f>Rådatakommune[[#This Row],[Y14-O]]/Rådatakommune[[#This Row],[Folk20-64-O]]</f>
        <v>0.86890982503364733</v>
      </c>
    </row>
    <row r="304" spans="1:19" x14ac:dyDescent="0.25">
      <c r="A304" s="2" t="s">
        <v>302</v>
      </c>
      <c r="B304" s="37">
        <v>4685</v>
      </c>
      <c r="C304" s="36">
        <v>4715</v>
      </c>
      <c r="D304" s="33">
        <v>2265</v>
      </c>
      <c r="E304" s="38">
        <v>882</v>
      </c>
      <c r="F304" s="39">
        <v>500</v>
      </c>
      <c r="G304">
        <v>2591</v>
      </c>
      <c r="H304" s="33">
        <v>1627</v>
      </c>
      <c r="I304" s="33">
        <v>1846</v>
      </c>
      <c r="J304" s="5">
        <v>383.79999999999995</v>
      </c>
      <c r="K304" s="40">
        <v>346300</v>
      </c>
      <c r="L304" s="45">
        <v>272.35000000000002</v>
      </c>
      <c r="M304" s="41">
        <v>10</v>
      </c>
      <c r="N304" s="32">
        <f>Rådatakommune[[#This Row],[B15-O]]/Rådatakommune[[#This Row],[Totalareal2015-O]]</f>
        <v>12.285044293903075</v>
      </c>
      <c r="O304" s="34">
        <f>Rådatakommune[[#This Row],[B15-O]]/Rådatakommune[[#This Row],[B05-O]]-1</f>
        <v>6.4034151547491813E-3</v>
      </c>
      <c r="P304" s="34">
        <f>Rådatakommune[[#This Row],[Kvinner20-39-O]]/Rådatakommune[[#This Row],[B15-O]]</f>
        <v>0.10604453870625663</v>
      </c>
      <c r="Q304" s="34">
        <f>Rådatakommune[[#This Row],[Eldre67+-O]]/Rådatakommune[[#This Row],[B15-O]]</f>
        <v>0.18706256627783668</v>
      </c>
      <c r="R304" s="34">
        <f>Rådatakommune[[#This Row],[S14-O]]/Rådatakommune[[#This Row],[S04-O]]-1</f>
        <v>0.13460356484326974</v>
      </c>
      <c r="S304" s="34">
        <f>Rådatakommune[[#This Row],[Y14-O]]/Rådatakommune[[#This Row],[Folk20-64-O]]</f>
        <v>0.87417985333847936</v>
      </c>
    </row>
    <row r="305" spans="1:19" x14ac:dyDescent="0.25">
      <c r="A305" s="2" t="s">
        <v>303</v>
      </c>
      <c r="B305" s="37">
        <v>3337</v>
      </c>
      <c r="C305" s="36">
        <v>3248</v>
      </c>
      <c r="D305" s="33">
        <v>1722</v>
      </c>
      <c r="E305" s="38">
        <v>667</v>
      </c>
      <c r="F305" s="39">
        <v>272</v>
      </c>
      <c r="G305">
        <v>1744</v>
      </c>
      <c r="H305" s="33">
        <v>1456</v>
      </c>
      <c r="I305" s="33">
        <v>1662</v>
      </c>
      <c r="J305" s="5">
        <v>954.66</v>
      </c>
      <c r="K305" s="40">
        <v>348700</v>
      </c>
      <c r="L305" s="45">
        <v>269.8</v>
      </c>
      <c r="M305" s="41">
        <v>11</v>
      </c>
      <c r="N305" s="32">
        <f>Rådatakommune[[#This Row],[B15-O]]/Rådatakommune[[#This Row],[Totalareal2015-O]]</f>
        <v>3.4022583956591879</v>
      </c>
      <c r="O305" s="34">
        <f>Rådatakommune[[#This Row],[B15-O]]/Rådatakommune[[#This Row],[B05-O]]-1</f>
        <v>-2.6670662271501389E-2</v>
      </c>
      <c r="P305" s="34">
        <f>Rådatakommune[[#This Row],[Kvinner20-39-O]]/Rådatakommune[[#This Row],[B15-O]]</f>
        <v>8.3743842364532015E-2</v>
      </c>
      <c r="Q305" s="34">
        <f>Rådatakommune[[#This Row],[Eldre67+-O]]/Rådatakommune[[#This Row],[B15-O]]</f>
        <v>0.20535714285714285</v>
      </c>
      <c r="R305" s="34">
        <f>Rådatakommune[[#This Row],[S14-O]]/Rådatakommune[[#This Row],[S04-O]]-1</f>
        <v>0.14148351648351642</v>
      </c>
      <c r="S305" s="34">
        <f>Rådatakommune[[#This Row],[Y14-O]]/Rådatakommune[[#This Row],[Folk20-64-O]]</f>
        <v>0.98738532110091748</v>
      </c>
    </row>
    <row r="306" spans="1:19" x14ac:dyDescent="0.25">
      <c r="A306" s="2" t="s">
        <v>304</v>
      </c>
      <c r="B306" s="37">
        <v>1074</v>
      </c>
      <c r="C306" s="36">
        <v>977</v>
      </c>
      <c r="D306" s="33">
        <v>510</v>
      </c>
      <c r="E306" s="38">
        <v>214</v>
      </c>
      <c r="F306" s="39">
        <v>90</v>
      </c>
      <c r="G306">
        <v>529</v>
      </c>
      <c r="H306" s="33">
        <v>414</v>
      </c>
      <c r="I306" s="33">
        <v>423</v>
      </c>
      <c r="J306" s="5">
        <v>374.64</v>
      </c>
      <c r="K306" s="40">
        <v>329100</v>
      </c>
      <c r="L306" s="45">
        <v>309.05</v>
      </c>
      <c r="M306" s="41">
        <v>11</v>
      </c>
      <c r="N306" s="32">
        <f>Rådatakommune[[#This Row],[B15-O]]/Rådatakommune[[#This Row],[Totalareal2015-O]]</f>
        <v>2.6078368567157804</v>
      </c>
      <c r="O306" s="34">
        <f>Rådatakommune[[#This Row],[B15-O]]/Rådatakommune[[#This Row],[B05-O]]-1</f>
        <v>-9.0316573556797008E-2</v>
      </c>
      <c r="P306" s="34">
        <f>Rådatakommune[[#This Row],[Kvinner20-39-O]]/Rådatakommune[[#This Row],[B15-O]]</f>
        <v>9.2118730808597754E-2</v>
      </c>
      <c r="Q306" s="34">
        <f>Rådatakommune[[#This Row],[Eldre67+-O]]/Rådatakommune[[#This Row],[B15-O]]</f>
        <v>0.21903787103377687</v>
      </c>
      <c r="R306" s="34">
        <f>Rådatakommune[[#This Row],[S14-O]]/Rådatakommune[[#This Row],[S04-O]]-1</f>
        <v>2.1739130434782705E-2</v>
      </c>
      <c r="S306" s="34">
        <f>Rådatakommune[[#This Row],[Y14-O]]/Rådatakommune[[#This Row],[Folk20-64-O]]</f>
        <v>0.96408317580340264</v>
      </c>
    </row>
    <row r="307" spans="1:19" x14ac:dyDescent="0.25">
      <c r="A307" s="2" t="s">
        <v>305</v>
      </c>
      <c r="B307" s="37">
        <v>1052</v>
      </c>
      <c r="C307" s="36">
        <v>1010</v>
      </c>
      <c r="D307" s="33">
        <v>507</v>
      </c>
      <c r="E307" s="38">
        <v>237</v>
      </c>
      <c r="F307" s="39">
        <v>94</v>
      </c>
      <c r="G307">
        <v>509</v>
      </c>
      <c r="H307" s="33">
        <v>412</v>
      </c>
      <c r="I307" s="33">
        <v>418</v>
      </c>
      <c r="J307" s="5">
        <v>387.17</v>
      </c>
      <c r="K307" s="40">
        <v>338400</v>
      </c>
      <c r="L307" s="45">
        <v>273.14999999999998</v>
      </c>
      <c r="M307" s="41">
        <v>11</v>
      </c>
      <c r="N307" s="32">
        <f>Rådatakommune[[#This Row],[B15-O]]/Rådatakommune[[#This Row],[Totalareal2015-O]]</f>
        <v>2.6086731926543894</v>
      </c>
      <c r="O307" s="34">
        <f>Rådatakommune[[#This Row],[B15-O]]/Rådatakommune[[#This Row],[B05-O]]-1</f>
        <v>-3.9923954372623527E-2</v>
      </c>
      <c r="P307" s="34">
        <f>Rådatakommune[[#This Row],[Kvinner20-39-O]]/Rådatakommune[[#This Row],[B15-O]]</f>
        <v>9.3069306930693069E-2</v>
      </c>
      <c r="Q307" s="34">
        <f>Rådatakommune[[#This Row],[Eldre67+-O]]/Rådatakommune[[#This Row],[B15-O]]</f>
        <v>0.23465346534653464</v>
      </c>
      <c r="R307" s="34">
        <f>Rådatakommune[[#This Row],[S14-O]]/Rådatakommune[[#This Row],[S04-O]]-1</f>
        <v>1.4563106796116498E-2</v>
      </c>
      <c r="S307" s="34">
        <f>Rådatakommune[[#This Row],[Y14-O]]/Rådatakommune[[#This Row],[Folk20-64-O]]</f>
        <v>0.99607072691552068</v>
      </c>
    </row>
    <row r="308" spans="1:19" x14ac:dyDescent="0.25">
      <c r="A308" s="2" t="s">
        <v>306</v>
      </c>
      <c r="B308" s="37">
        <v>6473</v>
      </c>
      <c r="C308" s="36">
        <v>6852</v>
      </c>
      <c r="D308" s="33">
        <v>3542</v>
      </c>
      <c r="E308" s="38">
        <v>1201</v>
      </c>
      <c r="F308" s="39">
        <v>732</v>
      </c>
      <c r="G308">
        <v>3817</v>
      </c>
      <c r="H308" s="33">
        <v>3239</v>
      </c>
      <c r="I308" s="33">
        <v>3256</v>
      </c>
      <c r="J308" s="5">
        <v>2274.11</v>
      </c>
      <c r="K308" s="40">
        <v>354900</v>
      </c>
      <c r="L308" s="45">
        <v>267.93333333300001</v>
      </c>
      <c r="M308" s="41">
        <v>9</v>
      </c>
      <c r="N308" s="32">
        <f>Rådatakommune[[#This Row],[B15-O]]/Rådatakommune[[#This Row],[Totalareal2015-O]]</f>
        <v>3.013046862288983</v>
      </c>
      <c r="O308" s="34">
        <f>Rådatakommune[[#This Row],[B15-O]]/Rådatakommune[[#This Row],[B05-O]]-1</f>
        <v>5.855090375405525E-2</v>
      </c>
      <c r="P308" s="34">
        <f>Rådatakommune[[#This Row],[Kvinner20-39-O]]/Rådatakommune[[#This Row],[B15-O]]</f>
        <v>0.10683012259194395</v>
      </c>
      <c r="Q308" s="34">
        <f>Rådatakommune[[#This Row],[Eldre67+-O]]/Rådatakommune[[#This Row],[B15-O]]</f>
        <v>0.17527729130180969</v>
      </c>
      <c r="R308" s="34">
        <f>Rådatakommune[[#This Row],[S14-O]]/Rådatakommune[[#This Row],[S04-O]]-1</f>
        <v>5.2485334979932574E-3</v>
      </c>
      <c r="S308" s="34">
        <f>Rådatakommune[[#This Row],[Y14-O]]/Rådatakommune[[#This Row],[Folk20-64-O]]</f>
        <v>0.9279538904899135</v>
      </c>
    </row>
    <row r="309" spans="1:19" x14ac:dyDescent="0.25">
      <c r="A309" s="2" t="s">
        <v>307</v>
      </c>
      <c r="B309" s="37">
        <v>2660</v>
      </c>
      <c r="C309" s="36">
        <v>2567</v>
      </c>
      <c r="D309" s="33">
        <v>1311</v>
      </c>
      <c r="E309" s="38">
        <v>536</v>
      </c>
      <c r="F309" s="39">
        <v>232</v>
      </c>
      <c r="G309">
        <v>1369</v>
      </c>
      <c r="H309" s="33">
        <v>1161</v>
      </c>
      <c r="I309" s="33">
        <v>1128</v>
      </c>
      <c r="J309" s="5">
        <v>947.97</v>
      </c>
      <c r="K309" s="40">
        <v>331500</v>
      </c>
      <c r="L309" s="45">
        <v>243.05</v>
      </c>
      <c r="M309" s="41">
        <v>5</v>
      </c>
      <c r="N309" s="32">
        <f>Rådatakommune[[#This Row],[B15-O]]/Rådatakommune[[#This Row],[Totalareal2015-O]]</f>
        <v>2.7078915999451461</v>
      </c>
      <c r="O309" s="34">
        <f>Rådatakommune[[#This Row],[B15-O]]/Rådatakommune[[#This Row],[B05-O]]-1</f>
        <v>-3.4962406015037639E-2</v>
      </c>
      <c r="P309" s="34">
        <f>Rådatakommune[[#This Row],[Kvinner20-39-O]]/Rådatakommune[[#This Row],[B15-O]]</f>
        <v>9.037787300350604E-2</v>
      </c>
      <c r="Q309" s="34">
        <f>Rådatakommune[[#This Row],[Eldre67+-O]]/Rådatakommune[[#This Row],[B15-O]]</f>
        <v>0.20880405142189326</v>
      </c>
      <c r="R309" s="34">
        <f>Rådatakommune[[#This Row],[S14-O]]/Rådatakommune[[#This Row],[S04-O]]-1</f>
        <v>-2.8423772609819098E-2</v>
      </c>
      <c r="S309" s="34">
        <f>Rådatakommune[[#This Row],[Y14-O]]/Rådatakommune[[#This Row],[Folk20-64-O]]</f>
        <v>0.95763330898466037</v>
      </c>
    </row>
    <row r="310" spans="1:19" x14ac:dyDescent="0.25">
      <c r="A310" s="2" t="s">
        <v>308</v>
      </c>
      <c r="B310" s="37">
        <v>3934</v>
      </c>
      <c r="C310" s="36">
        <v>3967</v>
      </c>
      <c r="D310" s="33">
        <v>1855</v>
      </c>
      <c r="E310" s="38">
        <v>761</v>
      </c>
      <c r="F310" s="39">
        <v>404</v>
      </c>
      <c r="G310">
        <v>2184</v>
      </c>
      <c r="H310" s="33">
        <v>1475</v>
      </c>
      <c r="I310" s="33">
        <v>1369</v>
      </c>
      <c r="J310" s="5">
        <v>613.34999999999991</v>
      </c>
      <c r="K310" s="40">
        <v>338200</v>
      </c>
      <c r="L310" s="45">
        <v>237.76666666670002</v>
      </c>
      <c r="M310" s="41">
        <v>5</v>
      </c>
      <c r="N310" s="32">
        <f>Rådatakommune[[#This Row],[B15-O]]/Rådatakommune[[#This Row],[Totalareal2015-O]]</f>
        <v>6.4677590282872757</v>
      </c>
      <c r="O310" s="34">
        <f>Rådatakommune[[#This Row],[B15-O]]/Rådatakommune[[#This Row],[B05-O]]-1</f>
        <v>8.3884087442807065E-3</v>
      </c>
      <c r="P310" s="34">
        <f>Rådatakommune[[#This Row],[Kvinner20-39-O]]/Rådatakommune[[#This Row],[B15-O]]</f>
        <v>0.10184018149735316</v>
      </c>
      <c r="Q310" s="34">
        <f>Rådatakommune[[#This Row],[Eldre67+-O]]/Rådatakommune[[#This Row],[B15-O]]</f>
        <v>0.19183261910763802</v>
      </c>
      <c r="R310" s="34">
        <f>Rådatakommune[[#This Row],[S14-O]]/Rådatakommune[[#This Row],[S04-O]]-1</f>
        <v>-7.1864406779660994E-2</v>
      </c>
      <c r="S310" s="34">
        <f>Rådatakommune[[#This Row],[Y14-O]]/Rådatakommune[[#This Row],[Folk20-64-O]]</f>
        <v>0.84935897435897434</v>
      </c>
    </row>
    <row r="311" spans="1:19" x14ac:dyDescent="0.25">
      <c r="A311" s="2" t="s">
        <v>309</v>
      </c>
      <c r="B311" s="37">
        <v>10512</v>
      </c>
      <c r="C311" s="36">
        <v>11722</v>
      </c>
      <c r="D311" s="33">
        <v>5804</v>
      </c>
      <c r="E311" s="38">
        <v>1781</v>
      </c>
      <c r="F311" s="39">
        <v>1365</v>
      </c>
      <c r="G311">
        <v>6722</v>
      </c>
      <c r="H311" s="33">
        <v>5211</v>
      </c>
      <c r="I311" s="33">
        <v>5820</v>
      </c>
      <c r="J311" s="5">
        <v>594.59</v>
      </c>
      <c r="K311" s="40">
        <v>371100</v>
      </c>
      <c r="L311" s="45">
        <v>207.45</v>
      </c>
      <c r="M311" s="41">
        <v>5</v>
      </c>
      <c r="N311" s="32">
        <f>Rådatakommune[[#This Row],[B15-O]]/Rådatakommune[[#This Row],[Totalareal2015-O]]</f>
        <v>19.714425066011874</v>
      </c>
      <c r="O311" s="34">
        <f>Rådatakommune[[#This Row],[B15-O]]/Rådatakommune[[#This Row],[B05-O]]-1</f>
        <v>0.11510654490106553</v>
      </c>
      <c r="P311" s="34">
        <f>Rådatakommune[[#This Row],[Kvinner20-39-O]]/Rådatakommune[[#This Row],[B15-O]]</f>
        <v>0.11644770516976626</v>
      </c>
      <c r="Q311" s="34">
        <f>Rådatakommune[[#This Row],[Eldre67+-O]]/Rådatakommune[[#This Row],[B15-O]]</f>
        <v>0.15193652960245693</v>
      </c>
      <c r="R311" s="34">
        <f>Rådatakommune[[#This Row],[S14-O]]/Rådatakommune[[#This Row],[S04-O]]-1</f>
        <v>0.11686816350028795</v>
      </c>
      <c r="S311" s="34">
        <f>Rådatakommune[[#This Row],[Y14-O]]/Rådatakommune[[#This Row],[Folk20-64-O]]</f>
        <v>0.86343350193394819</v>
      </c>
    </row>
    <row r="312" spans="1:19" x14ac:dyDescent="0.25">
      <c r="A312" s="2" t="s">
        <v>310</v>
      </c>
      <c r="B312" s="37">
        <v>5636</v>
      </c>
      <c r="C312" s="36">
        <v>5593</v>
      </c>
      <c r="D312" s="33">
        <v>3008</v>
      </c>
      <c r="E312" s="38">
        <v>1069</v>
      </c>
      <c r="F312" s="39">
        <v>577</v>
      </c>
      <c r="G312">
        <v>3163</v>
      </c>
      <c r="H312" s="33">
        <v>3167</v>
      </c>
      <c r="I312" s="33">
        <v>3333</v>
      </c>
      <c r="J312" s="5">
        <v>1956.46</v>
      </c>
      <c r="K312" s="40">
        <v>361100</v>
      </c>
      <c r="L312" s="45">
        <v>155.43333333332998</v>
      </c>
      <c r="M312" s="41">
        <v>9</v>
      </c>
      <c r="N312" s="32">
        <f>Rådatakommune[[#This Row],[B15-O]]/Rådatakommune[[#This Row],[Totalareal2015-O]]</f>
        <v>2.8587346534046185</v>
      </c>
      <c r="O312" s="34">
        <f>Rådatakommune[[#This Row],[B15-O]]/Rådatakommune[[#This Row],[B05-O]]-1</f>
        <v>-7.6295244854506228E-3</v>
      </c>
      <c r="P312" s="34">
        <f>Rådatakommune[[#This Row],[Kvinner20-39-O]]/Rådatakommune[[#This Row],[B15-O]]</f>
        <v>0.1031646701233685</v>
      </c>
      <c r="Q312" s="34">
        <f>Rådatakommune[[#This Row],[Eldre67+-O]]/Rådatakommune[[#This Row],[B15-O]]</f>
        <v>0.19113177185767924</v>
      </c>
      <c r="R312" s="34">
        <f>Rådatakommune[[#This Row],[S14-O]]/Rådatakommune[[#This Row],[S04-O]]-1</f>
        <v>5.2415535206820296E-2</v>
      </c>
      <c r="S312" s="34">
        <f>Rådatakommune[[#This Row],[Y14-O]]/Rådatakommune[[#This Row],[Folk20-64-O]]</f>
        <v>0.9509958899778691</v>
      </c>
    </row>
    <row r="313" spans="1:19" x14ac:dyDescent="0.25">
      <c r="A313" s="2" t="s">
        <v>311</v>
      </c>
      <c r="B313" s="37">
        <v>2132</v>
      </c>
      <c r="C313" s="36">
        <v>2014</v>
      </c>
      <c r="D313" s="33">
        <v>1006</v>
      </c>
      <c r="E313" s="38">
        <v>454</v>
      </c>
      <c r="F313" s="39">
        <v>199</v>
      </c>
      <c r="G313">
        <v>1082</v>
      </c>
      <c r="H313" s="33">
        <v>729</v>
      </c>
      <c r="I313" s="33">
        <v>620</v>
      </c>
      <c r="J313" s="5">
        <v>1209.5</v>
      </c>
      <c r="K313" s="40">
        <v>345100</v>
      </c>
      <c r="L313" s="45">
        <v>180.28333333329999</v>
      </c>
      <c r="M313" s="41">
        <v>9</v>
      </c>
      <c r="N313" s="32">
        <f>Rådatakommune[[#This Row],[B15-O]]/Rådatakommune[[#This Row],[Totalareal2015-O]]</f>
        <v>1.6651508887970237</v>
      </c>
      <c r="O313" s="34">
        <f>Rådatakommune[[#This Row],[B15-O]]/Rådatakommune[[#This Row],[B05-O]]-1</f>
        <v>-5.5347091932457793E-2</v>
      </c>
      <c r="P313" s="34">
        <f>Rådatakommune[[#This Row],[Kvinner20-39-O]]/Rådatakommune[[#This Row],[B15-O]]</f>
        <v>9.8808341608738831E-2</v>
      </c>
      <c r="Q313" s="34">
        <f>Rådatakommune[[#This Row],[Eldre67+-O]]/Rådatakommune[[#This Row],[B15-O]]</f>
        <v>0.22542204568023833</v>
      </c>
      <c r="R313" s="34">
        <f>Rådatakommune[[#This Row],[S14-O]]/Rådatakommune[[#This Row],[S04-O]]-1</f>
        <v>-0.14951989026063095</v>
      </c>
      <c r="S313" s="34">
        <f>Rådatakommune[[#This Row],[Y14-O]]/Rådatakommune[[#This Row],[Folk20-64-O]]</f>
        <v>0.92975970425138632</v>
      </c>
    </row>
    <row r="314" spans="1:19" x14ac:dyDescent="0.25">
      <c r="A314" s="2" t="s">
        <v>312</v>
      </c>
      <c r="B314" s="37">
        <v>5797</v>
      </c>
      <c r="C314" s="36">
        <v>6336</v>
      </c>
      <c r="D314" s="33">
        <v>3426</v>
      </c>
      <c r="E314" s="38">
        <v>1041</v>
      </c>
      <c r="F314" s="39">
        <v>785</v>
      </c>
      <c r="G314">
        <v>3655</v>
      </c>
      <c r="H314" s="33">
        <v>2706</v>
      </c>
      <c r="I314" s="33">
        <v>3133</v>
      </c>
      <c r="J314" s="5">
        <v>1860.51</v>
      </c>
      <c r="K314" s="40">
        <v>349900</v>
      </c>
      <c r="L314" s="45">
        <v>217.51666666669999</v>
      </c>
      <c r="M314" s="41">
        <v>2</v>
      </c>
      <c r="N314" s="32">
        <f>Rådatakommune[[#This Row],[B15-O]]/Rådatakommune[[#This Row],[Totalareal2015-O]]</f>
        <v>3.4055178418820646</v>
      </c>
      <c r="O314" s="34">
        <f>Rådatakommune[[#This Row],[B15-O]]/Rådatakommune[[#This Row],[B05-O]]-1</f>
        <v>9.2979127134724893E-2</v>
      </c>
      <c r="P314" s="34">
        <f>Rådatakommune[[#This Row],[Kvinner20-39-O]]/Rådatakommune[[#This Row],[B15-O]]</f>
        <v>0.12389520202020202</v>
      </c>
      <c r="Q314" s="34">
        <f>Rådatakommune[[#This Row],[Eldre67+-O]]/Rådatakommune[[#This Row],[B15-O]]</f>
        <v>0.16429924242424243</v>
      </c>
      <c r="R314" s="34">
        <f>Rådatakommune[[#This Row],[S14-O]]/Rådatakommune[[#This Row],[S04-O]]-1</f>
        <v>0.15779748706577967</v>
      </c>
      <c r="S314" s="34">
        <f>Rådatakommune[[#This Row],[Y14-O]]/Rådatakommune[[#This Row],[Folk20-64-O]]</f>
        <v>0.93734610123119011</v>
      </c>
    </row>
    <row r="315" spans="1:19" x14ac:dyDescent="0.25">
      <c r="A315" s="2" t="s">
        <v>313</v>
      </c>
      <c r="B315" s="37">
        <v>13977</v>
      </c>
      <c r="C315" s="36">
        <v>15916</v>
      </c>
      <c r="D315" s="33">
        <v>8245</v>
      </c>
      <c r="E315" s="38">
        <v>2168</v>
      </c>
      <c r="F315" s="39">
        <v>1957</v>
      </c>
      <c r="G315">
        <v>9148</v>
      </c>
      <c r="H315" s="33">
        <v>4176</v>
      </c>
      <c r="I315" s="33">
        <v>4827</v>
      </c>
      <c r="J315" s="5">
        <v>693.82999999999993</v>
      </c>
      <c r="K315" s="40">
        <v>379000</v>
      </c>
      <c r="L315" s="45">
        <v>192.0666666667</v>
      </c>
      <c r="M315" s="41">
        <v>2</v>
      </c>
      <c r="N315" s="32">
        <f>Rådatakommune[[#This Row],[B15-O]]/Rådatakommune[[#This Row],[Totalareal2015-O]]</f>
        <v>22.9393367251344</v>
      </c>
      <c r="O315" s="34">
        <f>Rådatakommune[[#This Row],[B15-O]]/Rådatakommune[[#This Row],[B05-O]]-1</f>
        <v>0.13872791013808405</v>
      </c>
      <c r="P315" s="34">
        <f>Rådatakommune[[#This Row],[Kvinner20-39-O]]/Rådatakommune[[#This Row],[B15-O]]</f>
        <v>0.12295802965569239</v>
      </c>
      <c r="Q315" s="34">
        <f>Rådatakommune[[#This Row],[Eldre67+-O]]/Rådatakommune[[#This Row],[B15-O]]</f>
        <v>0.13621512942950489</v>
      </c>
      <c r="R315" s="34">
        <f>Rådatakommune[[#This Row],[S14-O]]/Rådatakommune[[#This Row],[S04-O]]-1</f>
        <v>0.15589080459770122</v>
      </c>
      <c r="S315" s="34">
        <f>Rådatakommune[[#This Row],[Y14-O]]/Rådatakommune[[#This Row],[Folk20-64-O]]</f>
        <v>0.90128989943156979</v>
      </c>
    </row>
    <row r="316" spans="1:19" x14ac:dyDescent="0.25">
      <c r="A316" s="2" t="s">
        <v>314</v>
      </c>
      <c r="B316" s="37">
        <v>6063</v>
      </c>
      <c r="C316" s="36">
        <v>7668</v>
      </c>
      <c r="D316" s="33">
        <v>3948</v>
      </c>
      <c r="E316" s="38">
        <v>923</v>
      </c>
      <c r="F316" s="39">
        <v>984</v>
      </c>
      <c r="G316">
        <v>4396</v>
      </c>
      <c r="H316" s="33">
        <v>1206</v>
      </c>
      <c r="I316" s="33">
        <v>1506</v>
      </c>
      <c r="J316" s="5">
        <v>224.21</v>
      </c>
      <c r="K316" s="40">
        <v>385900</v>
      </c>
      <c r="L316" s="45">
        <v>198.75</v>
      </c>
      <c r="M316" s="41">
        <v>2</v>
      </c>
      <c r="N316" s="32">
        <f>Rådatakommune[[#This Row],[B15-O]]/Rådatakommune[[#This Row],[Totalareal2015-O]]</f>
        <v>34.200080281878591</v>
      </c>
      <c r="O316" s="34">
        <f>Rådatakommune[[#This Row],[B15-O]]/Rådatakommune[[#This Row],[B05-O]]-1</f>
        <v>0.26472043542800594</v>
      </c>
      <c r="P316" s="34">
        <f>Rådatakommune[[#This Row],[Kvinner20-39-O]]/Rådatakommune[[#This Row],[B15-O]]</f>
        <v>0.12832550860719874</v>
      </c>
      <c r="Q316" s="34">
        <f>Rådatakommune[[#This Row],[Eldre67+-O]]/Rådatakommune[[#This Row],[B15-O]]</f>
        <v>0.12037037037037036</v>
      </c>
      <c r="R316" s="34">
        <f>Rådatakommune[[#This Row],[S14-O]]/Rådatakommune[[#This Row],[S04-O]]-1</f>
        <v>0.24875621890547261</v>
      </c>
      <c r="S316" s="34">
        <f>Rådatakommune[[#This Row],[Y14-O]]/Rådatakommune[[#This Row],[Folk20-64-O]]</f>
        <v>0.89808917197452232</v>
      </c>
    </row>
    <row r="317" spans="1:19" x14ac:dyDescent="0.25">
      <c r="A317" s="2" t="s">
        <v>315</v>
      </c>
      <c r="B317" s="37">
        <v>5279</v>
      </c>
      <c r="C317" s="36">
        <v>5995</v>
      </c>
      <c r="D317" s="33">
        <v>3123</v>
      </c>
      <c r="E317" s="38">
        <v>637</v>
      </c>
      <c r="F317" s="39">
        <v>741</v>
      </c>
      <c r="G317">
        <v>3439</v>
      </c>
      <c r="H317" s="33">
        <v>1119</v>
      </c>
      <c r="I317" s="33">
        <v>1236</v>
      </c>
      <c r="J317" s="5">
        <v>186.36</v>
      </c>
      <c r="K317" s="40">
        <v>391800</v>
      </c>
      <c r="L317" s="45">
        <v>187.5</v>
      </c>
      <c r="M317" s="41">
        <v>2</v>
      </c>
      <c r="N317" s="32">
        <f>Rådatakommune[[#This Row],[B15-O]]/Rådatakommune[[#This Row],[Totalareal2015-O]]</f>
        <v>32.168920369177933</v>
      </c>
      <c r="O317" s="34">
        <f>Rådatakommune[[#This Row],[B15-O]]/Rådatakommune[[#This Row],[B05-O]]-1</f>
        <v>0.13563174843720405</v>
      </c>
      <c r="P317" s="34">
        <f>Rådatakommune[[#This Row],[Kvinner20-39-O]]/Rådatakommune[[#This Row],[B15-O]]</f>
        <v>0.12360300250208507</v>
      </c>
      <c r="Q317" s="34">
        <f>Rådatakommune[[#This Row],[Eldre67+-O]]/Rådatakommune[[#This Row],[B15-O]]</f>
        <v>0.10625521267723102</v>
      </c>
      <c r="R317" s="34">
        <f>Rådatakommune[[#This Row],[S14-O]]/Rådatakommune[[#This Row],[S04-O]]-1</f>
        <v>0.10455764075067031</v>
      </c>
      <c r="S317" s="34">
        <f>Rådatakommune[[#This Row],[Y14-O]]/Rådatakommune[[#This Row],[Folk20-64-O]]</f>
        <v>0.90811282349520206</v>
      </c>
    </row>
    <row r="318" spans="1:19" x14ac:dyDescent="0.25">
      <c r="A318" s="2" t="s">
        <v>316</v>
      </c>
      <c r="B318" s="37">
        <v>12095</v>
      </c>
      <c r="C318" s="36">
        <v>13498</v>
      </c>
      <c r="D318" s="33">
        <v>6893</v>
      </c>
      <c r="E318" s="38">
        <v>1516</v>
      </c>
      <c r="F318" s="39">
        <v>1596</v>
      </c>
      <c r="G318">
        <v>7908</v>
      </c>
      <c r="H318" s="33">
        <v>2603</v>
      </c>
      <c r="I318" s="33">
        <v>3334</v>
      </c>
      <c r="J318" s="5">
        <v>168.44</v>
      </c>
      <c r="K318" s="40">
        <v>419000</v>
      </c>
      <c r="L318" s="45">
        <v>162.83333333333002</v>
      </c>
      <c r="M318" s="41">
        <v>2</v>
      </c>
      <c r="N318" s="32">
        <f>Rådatakommune[[#This Row],[B15-O]]/Rådatakommune[[#This Row],[Totalareal2015-O]]</f>
        <v>80.135359772025652</v>
      </c>
      <c r="O318" s="34">
        <f>Rådatakommune[[#This Row],[B15-O]]/Rådatakommune[[#This Row],[B05-O]]-1</f>
        <v>0.11599834642414231</v>
      </c>
      <c r="P318" s="34">
        <f>Rådatakommune[[#This Row],[Kvinner20-39-O]]/Rådatakommune[[#This Row],[B15-O]]</f>
        <v>0.11823973922062528</v>
      </c>
      <c r="Q318" s="34">
        <f>Rådatakommune[[#This Row],[Eldre67+-O]]/Rådatakommune[[#This Row],[B15-O]]</f>
        <v>0.11231293524966662</v>
      </c>
      <c r="R318" s="34">
        <f>Rådatakommune[[#This Row],[S14-O]]/Rådatakommune[[#This Row],[S04-O]]-1</f>
        <v>0.28082981175566646</v>
      </c>
      <c r="S318" s="34">
        <f>Rådatakommune[[#This Row],[Y14-O]]/Rådatakommune[[#This Row],[Folk20-64-O]]</f>
        <v>0.87164896307536677</v>
      </c>
    </row>
    <row r="319" spans="1:19" x14ac:dyDescent="0.25">
      <c r="A319" s="2" t="s">
        <v>317</v>
      </c>
      <c r="B319" s="37">
        <v>3988</v>
      </c>
      <c r="C319" s="36">
        <v>4078</v>
      </c>
      <c r="D319" s="33">
        <v>2103</v>
      </c>
      <c r="E319" s="38">
        <v>766</v>
      </c>
      <c r="F319" s="39">
        <v>412</v>
      </c>
      <c r="G319">
        <v>2255</v>
      </c>
      <c r="H319" s="33">
        <v>1561</v>
      </c>
      <c r="I319" s="33">
        <v>1649</v>
      </c>
      <c r="J319" s="5">
        <v>1234.8400000000001</v>
      </c>
      <c r="K319" s="40">
        <v>353900</v>
      </c>
      <c r="L319" s="45">
        <v>186.35</v>
      </c>
      <c r="M319" s="41">
        <v>2</v>
      </c>
      <c r="N319" s="32">
        <f>Rådatakommune[[#This Row],[B15-O]]/Rådatakommune[[#This Row],[Totalareal2015-O]]</f>
        <v>3.3024521395484432</v>
      </c>
      <c r="O319" s="34">
        <f>Rådatakommune[[#This Row],[B15-O]]/Rådatakommune[[#This Row],[B05-O]]-1</f>
        <v>2.2567703109327875E-2</v>
      </c>
      <c r="P319" s="34">
        <f>Rådatakommune[[#This Row],[Kvinner20-39-O]]/Rådatakommune[[#This Row],[B15-O]]</f>
        <v>0.10102991662579695</v>
      </c>
      <c r="Q319" s="34">
        <f>Rådatakommune[[#This Row],[Eldre67+-O]]/Rådatakommune[[#This Row],[B15-O]]</f>
        <v>0.1878371750858264</v>
      </c>
      <c r="R319" s="34">
        <f>Rådatakommune[[#This Row],[S14-O]]/Rådatakommune[[#This Row],[S04-O]]-1</f>
        <v>5.637411915438828E-2</v>
      </c>
      <c r="S319" s="34">
        <f>Rådatakommune[[#This Row],[Y14-O]]/Rådatakommune[[#This Row],[Folk20-64-O]]</f>
        <v>0.93259423503325944</v>
      </c>
    </row>
    <row r="320" spans="1:19" x14ac:dyDescent="0.25">
      <c r="A320" s="2" t="s">
        <v>318</v>
      </c>
      <c r="B320" s="37">
        <v>902</v>
      </c>
      <c r="C320" s="36">
        <v>863</v>
      </c>
      <c r="D320" s="33">
        <v>477</v>
      </c>
      <c r="E320" s="38">
        <v>195</v>
      </c>
      <c r="F320" s="39">
        <v>84</v>
      </c>
      <c r="G320">
        <v>473</v>
      </c>
      <c r="H320" s="33">
        <v>372</v>
      </c>
      <c r="I320" s="33">
        <v>387</v>
      </c>
      <c r="J320" s="5">
        <v>1329.22</v>
      </c>
      <c r="K320" s="40">
        <v>336100</v>
      </c>
      <c r="L320" s="45">
        <v>204.9</v>
      </c>
      <c r="M320" s="41">
        <v>11</v>
      </c>
      <c r="N320" s="32">
        <f>Rådatakommune[[#This Row],[B15-O]]/Rådatakommune[[#This Row],[Totalareal2015-O]]</f>
        <v>0.64925294533636269</v>
      </c>
      <c r="O320" s="34">
        <f>Rådatakommune[[#This Row],[B15-O]]/Rådatakommune[[#This Row],[B05-O]]-1</f>
        <v>-4.3237250554323703E-2</v>
      </c>
      <c r="P320" s="34">
        <f>Rådatakommune[[#This Row],[Kvinner20-39-O]]/Rådatakommune[[#This Row],[B15-O]]</f>
        <v>9.7334878331402086E-2</v>
      </c>
      <c r="Q320" s="34">
        <f>Rådatakommune[[#This Row],[Eldre67+-O]]/Rådatakommune[[#This Row],[B15-O]]</f>
        <v>0.22595596755504055</v>
      </c>
      <c r="R320" s="34">
        <f>Rådatakommune[[#This Row],[S14-O]]/Rådatakommune[[#This Row],[S04-O]]-1</f>
        <v>4.0322580645161255E-2</v>
      </c>
      <c r="S320" s="34">
        <f>Rådatakommune[[#This Row],[Y14-O]]/Rådatakommune[[#This Row],[Folk20-64-O]]</f>
        <v>1.0084566596194504</v>
      </c>
    </row>
    <row r="321" spans="1:19" x14ac:dyDescent="0.25">
      <c r="A321" s="2" t="s">
        <v>319</v>
      </c>
      <c r="B321" s="37">
        <v>20527</v>
      </c>
      <c r="C321" s="36">
        <v>21650</v>
      </c>
      <c r="D321" s="33">
        <v>10534</v>
      </c>
      <c r="E321" s="38">
        <v>3722</v>
      </c>
      <c r="F321" s="39">
        <v>2390</v>
      </c>
      <c r="G321">
        <v>12159</v>
      </c>
      <c r="H321" s="33">
        <v>9685</v>
      </c>
      <c r="I321" s="33">
        <v>10576</v>
      </c>
      <c r="J321" s="5">
        <v>1564.38</v>
      </c>
      <c r="K321" s="40">
        <v>354400</v>
      </c>
      <c r="L321" s="45">
        <v>227.3</v>
      </c>
      <c r="M321" s="41">
        <v>6</v>
      </c>
      <c r="N321" s="32">
        <f>Rådatakommune[[#This Row],[B15-O]]/Rådatakommune[[#This Row],[Totalareal2015-O]]</f>
        <v>13.839348495889745</v>
      </c>
      <c r="O321" s="34">
        <f>Rådatakommune[[#This Row],[B15-O]]/Rådatakommune[[#This Row],[B05-O]]-1</f>
        <v>5.470843279582982E-2</v>
      </c>
      <c r="P321" s="34">
        <f>Rådatakommune[[#This Row],[Kvinner20-39-O]]/Rådatakommune[[#This Row],[B15-O]]</f>
        <v>0.11039260969976905</v>
      </c>
      <c r="Q321" s="34">
        <f>Rådatakommune[[#This Row],[Eldre67+-O]]/Rådatakommune[[#This Row],[B15-O]]</f>
        <v>0.17191685912240184</v>
      </c>
      <c r="R321" s="34">
        <f>Rådatakommune[[#This Row],[S14-O]]/Rådatakommune[[#This Row],[S04-O]]-1</f>
        <v>9.1997934950954985E-2</v>
      </c>
      <c r="S321" s="34">
        <f>Rådatakommune[[#This Row],[Y14-O]]/Rådatakommune[[#This Row],[Folk20-64-O]]</f>
        <v>0.86635414096553998</v>
      </c>
    </row>
    <row r="322" spans="1:19" x14ac:dyDescent="0.25">
      <c r="A322" s="2" t="s">
        <v>320</v>
      </c>
      <c r="B322" s="37">
        <v>12498</v>
      </c>
      <c r="C322" s="36">
        <v>13026</v>
      </c>
      <c r="D322" s="33">
        <v>6486</v>
      </c>
      <c r="E322" s="38">
        <v>1951</v>
      </c>
      <c r="F322" s="39">
        <v>1545</v>
      </c>
      <c r="G322">
        <v>7360</v>
      </c>
      <c r="H322" s="33">
        <v>6382</v>
      </c>
      <c r="I322" s="33">
        <v>7019</v>
      </c>
      <c r="J322" s="5">
        <v>777.21</v>
      </c>
      <c r="K322" s="40">
        <v>365800</v>
      </c>
      <c r="L322" s="45">
        <v>214.6</v>
      </c>
      <c r="M322" s="41">
        <v>6</v>
      </c>
      <c r="N322" s="32">
        <f>Rådatakommune[[#This Row],[B15-O]]/Rådatakommune[[#This Row],[Totalareal2015-O]]</f>
        <v>16.759949048519704</v>
      </c>
      <c r="O322" s="34">
        <f>Rådatakommune[[#This Row],[B15-O]]/Rådatakommune[[#This Row],[B05-O]]-1</f>
        <v>4.2246759481517016E-2</v>
      </c>
      <c r="P322" s="34">
        <f>Rådatakommune[[#This Row],[Kvinner20-39-O]]/Rådatakommune[[#This Row],[B15-O]]</f>
        <v>0.11860893597420544</v>
      </c>
      <c r="Q322" s="34">
        <f>Rådatakommune[[#This Row],[Eldre67+-O]]/Rådatakommune[[#This Row],[B15-O]]</f>
        <v>0.14977736834024258</v>
      </c>
      <c r="R322" s="34">
        <f>Rådatakommune[[#This Row],[S14-O]]/Rådatakommune[[#This Row],[S04-O]]-1</f>
        <v>9.9811971168912494E-2</v>
      </c>
      <c r="S322" s="34">
        <f>Rådatakommune[[#This Row],[Y14-O]]/Rådatakommune[[#This Row],[Folk20-64-O]]</f>
        <v>0.88124999999999998</v>
      </c>
    </row>
    <row r="323" spans="1:19" x14ac:dyDescent="0.25">
      <c r="A323" s="2" t="s">
        <v>321</v>
      </c>
      <c r="B323" s="37">
        <v>2560</v>
      </c>
      <c r="C323" s="36">
        <v>2558</v>
      </c>
      <c r="D323" s="33">
        <v>1159</v>
      </c>
      <c r="E323" s="38">
        <v>481</v>
      </c>
      <c r="F323" s="39">
        <v>284</v>
      </c>
      <c r="G323">
        <v>1427</v>
      </c>
      <c r="H323" s="33">
        <v>1038</v>
      </c>
      <c r="I323" s="33">
        <v>941</v>
      </c>
      <c r="J323" s="5">
        <v>1273.42</v>
      </c>
      <c r="K323" s="40">
        <v>317100</v>
      </c>
      <c r="L323" s="45">
        <v>197.0833333333</v>
      </c>
      <c r="M323" s="41">
        <v>5</v>
      </c>
      <c r="N323" s="32">
        <f>Rådatakommune[[#This Row],[B15-O]]/Rådatakommune[[#This Row],[Totalareal2015-O]]</f>
        <v>2.0087638014166576</v>
      </c>
      <c r="O323" s="34">
        <f>Rådatakommune[[#This Row],[B15-O]]/Rådatakommune[[#This Row],[B05-O]]-1</f>
        <v>-7.8124999999995559E-4</v>
      </c>
      <c r="P323" s="34">
        <f>Rådatakommune[[#This Row],[Kvinner20-39-O]]/Rådatakommune[[#This Row],[B15-O]]</f>
        <v>0.11102423768569195</v>
      </c>
      <c r="Q323" s="34">
        <f>Rådatakommune[[#This Row],[Eldre67+-O]]/Rådatakommune[[#This Row],[B15-O]]</f>
        <v>0.18803752931978107</v>
      </c>
      <c r="R323" s="34">
        <f>Rådatakommune[[#This Row],[S14-O]]/Rådatakommune[[#This Row],[S04-O]]-1</f>
        <v>-9.3448940269749481E-2</v>
      </c>
      <c r="S323" s="34">
        <f>Rådatakommune[[#This Row],[Y14-O]]/Rådatakommune[[#This Row],[Folk20-64-O]]</f>
        <v>0.81219341275402945</v>
      </c>
    </row>
    <row r="324" spans="1:19" x14ac:dyDescent="0.25">
      <c r="A324" s="2" t="s">
        <v>322</v>
      </c>
      <c r="B324" s="37">
        <v>19562</v>
      </c>
      <c r="C324" s="36">
        <v>22957</v>
      </c>
      <c r="D324" s="33">
        <v>11528</v>
      </c>
      <c r="E324" s="38">
        <v>3270</v>
      </c>
      <c r="F324" s="39">
        <v>2693</v>
      </c>
      <c r="G324">
        <v>12988</v>
      </c>
      <c r="H324" s="33">
        <v>8660</v>
      </c>
      <c r="I324" s="33">
        <v>11049</v>
      </c>
      <c r="J324" s="5">
        <v>938.18000000000006</v>
      </c>
      <c r="K324" s="40">
        <v>384400</v>
      </c>
      <c r="L324" s="45">
        <v>157.71666666666999</v>
      </c>
      <c r="M324" s="41">
        <v>2</v>
      </c>
      <c r="N324" s="32">
        <f>Rådatakommune[[#This Row],[B15-O]]/Rådatakommune[[#This Row],[Totalareal2015-O]]</f>
        <v>24.469717964569696</v>
      </c>
      <c r="O324" s="34">
        <f>Rådatakommune[[#This Row],[B15-O]]/Rådatakommune[[#This Row],[B05-O]]-1</f>
        <v>0.17355076168080963</v>
      </c>
      <c r="P324" s="34">
        <f>Rådatakommune[[#This Row],[Kvinner20-39-O]]/Rådatakommune[[#This Row],[B15-O]]</f>
        <v>0.11730626824062378</v>
      </c>
      <c r="Q324" s="34">
        <f>Rådatakommune[[#This Row],[Eldre67+-O]]/Rådatakommune[[#This Row],[B15-O]]</f>
        <v>0.14244021431371695</v>
      </c>
      <c r="R324" s="34">
        <f>Rådatakommune[[#This Row],[S14-O]]/Rådatakommune[[#This Row],[S04-O]]-1</f>
        <v>0.27586605080831417</v>
      </c>
      <c r="S324" s="34">
        <f>Rådatakommune[[#This Row],[Y14-O]]/Rådatakommune[[#This Row],[Folk20-64-O]]</f>
        <v>0.88758854327071146</v>
      </c>
    </row>
    <row r="325" spans="1:19" x14ac:dyDescent="0.25">
      <c r="A325" s="2" t="s">
        <v>323</v>
      </c>
      <c r="B325" s="37">
        <v>2493</v>
      </c>
      <c r="C325" s="36">
        <v>2624</v>
      </c>
      <c r="D325" s="33">
        <v>1231</v>
      </c>
      <c r="E325" s="38">
        <v>492</v>
      </c>
      <c r="F325" s="39">
        <v>281</v>
      </c>
      <c r="G325">
        <v>1414</v>
      </c>
      <c r="H325" s="33">
        <v>885</v>
      </c>
      <c r="I325" s="33">
        <v>944</v>
      </c>
      <c r="J325" s="5">
        <v>76.320000000000007</v>
      </c>
      <c r="K325" s="40">
        <v>332400</v>
      </c>
      <c r="L325" s="45">
        <v>190.23333333330001</v>
      </c>
      <c r="M325" s="41">
        <v>5</v>
      </c>
      <c r="N325" s="32">
        <f>Rådatakommune[[#This Row],[B15-O]]/Rådatakommune[[#This Row],[Totalareal2015-O]]</f>
        <v>34.381551362683432</v>
      </c>
      <c r="O325" s="34">
        <f>Rådatakommune[[#This Row],[B15-O]]/Rådatakommune[[#This Row],[B05-O]]-1</f>
        <v>5.2547131969514549E-2</v>
      </c>
      <c r="P325" s="34">
        <f>Rådatakommune[[#This Row],[Kvinner20-39-O]]/Rådatakommune[[#This Row],[B15-O]]</f>
        <v>0.10708841463414634</v>
      </c>
      <c r="Q325" s="34">
        <f>Rådatakommune[[#This Row],[Eldre67+-O]]/Rådatakommune[[#This Row],[B15-O]]</f>
        <v>0.1875</v>
      </c>
      <c r="R325" s="34">
        <f>Rådatakommune[[#This Row],[S14-O]]/Rådatakommune[[#This Row],[S04-O]]-1</f>
        <v>6.6666666666666652E-2</v>
      </c>
      <c r="S325" s="34">
        <f>Rådatakommune[[#This Row],[Y14-O]]/Rådatakommune[[#This Row],[Folk20-64-O]]</f>
        <v>0.87057991513437061</v>
      </c>
    </row>
    <row r="326" spans="1:19" x14ac:dyDescent="0.25">
      <c r="A326" s="2" t="s">
        <v>324</v>
      </c>
      <c r="B326" s="37">
        <v>3508</v>
      </c>
      <c r="C326" s="36">
        <v>3506</v>
      </c>
      <c r="D326" s="33">
        <v>1710</v>
      </c>
      <c r="E326" s="38">
        <v>646</v>
      </c>
      <c r="F326" s="39">
        <v>388</v>
      </c>
      <c r="G326">
        <v>1905</v>
      </c>
      <c r="H326" s="33">
        <v>1489</v>
      </c>
      <c r="I326" s="33">
        <v>1451</v>
      </c>
      <c r="J326" s="5">
        <v>430.21</v>
      </c>
      <c r="K326" s="40">
        <v>347200</v>
      </c>
      <c r="L326" s="45">
        <v>250.48333333329998</v>
      </c>
      <c r="M326" s="41">
        <v>2</v>
      </c>
      <c r="N326" s="32">
        <f>Rådatakommune[[#This Row],[B15-O]]/Rådatakommune[[#This Row],[Totalareal2015-O]]</f>
        <v>8.1495083796285535</v>
      </c>
      <c r="O326" s="34">
        <f>Rådatakommune[[#This Row],[B15-O]]/Rådatakommune[[#This Row],[B05-O]]-1</f>
        <v>-5.7012542759404816E-4</v>
      </c>
      <c r="P326" s="34">
        <f>Rådatakommune[[#This Row],[Kvinner20-39-O]]/Rådatakommune[[#This Row],[B15-O]]</f>
        <v>0.11066742726754136</v>
      </c>
      <c r="Q326" s="34">
        <f>Rådatakommune[[#This Row],[Eldre67+-O]]/Rådatakommune[[#This Row],[B15-O]]</f>
        <v>0.18425556189389619</v>
      </c>
      <c r="R326" s="34">
        <f>Rådatakommune[[#This Row],[S14-O]]/Rådatakommune[[#This Row],[S04-O]]-1</f>
        <v>-2.5520483546004002E-2</v>
      </c>
      <c r="S326" s="34">
        <f>Rådatakommune[[#This Row],[Y14-O]]/Rådatakommune[[#This Row],[Folk20-64-O]]</f>
        <v>0.89763779527559051</v>
      </c>
    </row>
    <row r="327" spans="1:19" x14ac:dyDescent="0.25">
      <c r="A327" s="2" t="s">
        <v>325</v>
      </c>
      <c r="B327" s="37">
        <v>18001</v>
      </c>
      <c r="C327" s="36">
        <v>19474</v>
      </c>
      <c r="D327" s="33">
        <v>9839</v>
      </c>
      <c r="E327" s="38">
        <v>2855</v>
      </c>
      <c r="F327" s="39">
        <v>2406</v>
      </c>
      <c r="G327">
        <v>11217</v>
      </c>
      <c r="H327" s="33">
        <v>8697</v>
      </c>
      <c r="I327" s="33">
        <v>9426</v>
      </c>
      <c r="J327" s="5">
        <v>645.79</v>
      </c>
      <c r="K327" s="40">
        <v>369900</v>
      </c>
      <c r="L327" s="45">
        <v>195.25</v>
      </c>
      <c r="M327" s="41">
        <v>5</v>
      </c>
      <c r="N327" s="32">
        <f>Rådatakommune[[#This Row],[B15-O]]/Rådatakommune[[#This Row],[Totalareal2015-O]]</f>
        <v>30.155313646851145</v>
      </c>
      <c r="O327" s="34">
        <f>Rådatakommune[[#This Row],[B15-O]]/Rådatakommune[[#This Row],[B05-O]]-1</f>
        <v>8.1828787289595084E-2</v>
      </c>
      <c r="P327" s="34">
        <f>Rådatakommune[[#This Row],[Kvinner20-39-O]]/Rådatakommune[[#This Row],[B15-O]]</f>
        <v>0.12354934784841327</v>
      </c>
      <c r="Q327" s="34">
        <f>Rådatakommune[[#This Row],[Eldre67+-O]]/Rådatakommune[[#This Row],[B15-O]]</f>
        <v>0.14660573071788024</v>
      </c>
      <c r="R327" s="34">
        <f>Rådatakommune[[#This Row],[S14-O]]/Rådatakommune[[#This Row],[S04-O]]-1</f>
        <v>8.3822007588823633E-2</v>
      </c>
      <c r="S327" s="34">
        <f>Rådatakommune[[#This Row],[Y14-O]]/Rådatakommune[[#This Row],[Folk20-64-O]]</f>
        <v>0.87715075332085224</v>
      </c>
    </row>
    <row r="328" spans="1:19" x14ac:dyDescent="0.25">
      <c r="A328" s="2" t="s">
        <v>326</v>
      </c>
      <c r="B328" s="37">
        <v>13815</v>
      </c>
      <c r="C328" s="36">
        <v>14809</v>
      </c>
      <c r="D328" s="33">
        <v>7210</v>
      </c>
      <c r="E328" s="38">
        <v>2235</v>
      </c>
      <c r="F328" s="39">
        <v>1708</v>
      </c>
      <c r="G328">
        <v>8449</v>
      </c>
      <c r="H328" s="33">
        <v>5695</v>
      </c>
      <c r="I328" s="33">
        <v>6715</v>
      </c>
      <c r="J328" s="5">
        <v>1546.79</v>
      </c>
      <c r="K328" s="40">
        <v>352600</v>
      </c>
      <c r="L328" s="45">
        <v>203.8166666667</v>
      </c>
      <c r="M328" s="41">
        <v>5</v>
      </c>
      <c r="N328" s="32">
        <f>Rådatakommune[[#This Row],[B15-O]]/Rådatakommune[[#This Row],[Totalareal2015-O]]</f>
        <v>9.5740210371155747</v>
      </c>
      <c r="O328" s="34">
        <f>Rådatakommune[[#This Row],[B15-O]]/Rådatakommune[[#This Row],[B05-O]]-1</f>
        <v>7.1950778139703297E-2</v>
      </c>
      <c r="P328" s="34">
        <f>Rådatakommune[[#This Row],[Kvinner20-39-O]]/Rådatakommune[[#This Row],[B15-O]]</f>
        <v>0.11533526909311904</v>
      </c>
      <c r="Q328" s="34">
        <f>Rådatakommune[[#This Row],[Eldre67+-O]]/Rådatakommune[[#This Row],[B15-O]]</f>
        <v>0.1509217367816868</v>
      </c>
      <c r="R328" s="34">
        <f>Rådatakommune[[#This Row],[S14-O]]/Rådatakommune[[#This Row],[S04-O]]-1</f>
        <v>0.17910447761194037</v>
      </c>
      <c r="S328" s="34">
        <f>Rådatakommune[[#This Row],[Y14-O]]/Rådatakommune[[#This Row],[Folk20-64-O]]</f>
        <v>0.85335542667771336</v>
      </c>
    </row>
    <row r="329" spans="1:19" x14ac:dyDescent="0.25">
      <c r="A329" s="2" t="s">
        <v>327</v>
      </c>
      <c r="B329" s="37">
        <v>2670</v>
      </c>
      <c r="C329" s="36">
        <v>2547</v>
      </c>
      <c r="D329" s="33">
        <v>1085</v>
      </c>
      <c r="E329" s="38">
        <v>527</v>
      </c>
      <c r="F329" s="39">
        <v>236</v>
      </c>
      <c r="G329">
        <v>1416</v>
      </c>
      <c r="H329" s="33">
        <v>894</v>
      </c>
      <c r="I329" s="33">
        <v>988</v>
      </c>
      <c r="J329" s="5">
        <v>601.66</v>
      </c>
      <c r="K329" s="40">
        <v>310400</v>
      </c>
      <c r="L329" s="45">
        <v>253.9</v>
      </c>
      <c r="M329" s="41">
        <v>6</v>
      </c>
      <c r="N329" s="32">
        <f>Rådatakommune[[#This Row],[B15-O]]/Rådatakommune[[#This Row],[Totalareal2015-O]]</f>
        <v>4.2332879034670743</v>
      </c>
      <c r="O329" s="34">
        <f>Rådatakommune[[#This Row],[B15-O]]/Rådatakommune[[#This Row],[B05-O]]-1</f>
        <v>-4.6067415730337125E-2</v>
      </c>
      <c r="P329" s="34">
        <f>Rådatakommune[[#This Row],[Kvinner20-39-O]]/Rådatakommune[[#This Row],[B15-O]]</f>
        <v>9.2658029053788768E-2</v>
      </c>
      <c r="Q329" s="34">
        <f>Rådatakommune[[#This Row],[Eldre67+-O]]/Rådatakommune[[#This Row],[B15-O]]</f>
        <v>0.20691009030231644</v>
      </c>
      <c r="R329" s="34">
        <f>Rådatakommune[[#This Row],[S14-O]]/Rådatakommune[[#This Row],[S04-O]]-1</f>
        <v>0.10514541387024612</v>
      </c>
      <c r="S329" s="34">
        <f>Rådatakommune[[#This Row],[Y14-O]]/Rådatakommune[[#This Row],[Folk20-64-O]]</f>
        <v>0.76624293785310738</v>
      </c>
    </row>
    <row r="330" spans="1:19" x14ac:dyDescent="0.25">
      <c r="A330" s="2" t="s">
        <v>328</v>
      </c>
      <c r="B330" s="37">
        <v>1781</v>
      </c>
      <c r="C330" s="36">
        <v>1644</v>
      </c>
      <c r="D330" s="33">
        <v>829</v>
      </c>
      <c r="E330" s="38">
        <v>320</v>
      </c>
      <c r="F330" s="39">
        <v>150</v>
      </c>
      <c r="G330">
        <v>896</v>
      </c>
      <c r="H330" s="33">
        <v>702</v>
      </c>
      <c r="I330" s="33">
        <v>622</v>
      </c>
      <c r="J330" s="5">
        <v>769.54000000000008</v>
      </c>
      <c r="K330" s="40">
        <v>339300</v>
      </c>
      <c r="L330" s="45">
        <v>243.3</v>
      </c>
      <c r="M330" s="41">
        <v>6</v>
      </c>
      <c r="N330" s="32">
        <f>Rådatakommune[[#This Row],[B15-O]]/Rådatakommune[[#This Row],[Totalareal2015-O]]</f>
        <v>2.1363411908412817</v>
      </c>
      <c r="O330" s="34">
        <f>Rådatakommune[[#This Row],[B15-O]]/Rådatakommune[[#This Row],[B05-O]]-1</f>
        <v>-7.6923076923076872E-2</v>
      </c>
      <c r="P330" s="34">
        <f>Rådatakommune[[#This Row],[Kvinner20-39-O]]/Rådatakommune[[#This Row],[B15-O]]</f>
        <v>9.1240875912408759E-2</v>
      </c>
      <c r="Q330" s="34">
        <f>Rådatakommune[[#This Row],[Eldre67+-O]]/Rådatakommune[[#This Row],[B15-O]]</f>
        <v>0.19464720194647203</v>
      </c>
      <c r="R330" s="34">
        <f>Rådatakommune[[#This Row],[S14-O]]/Rådatakommune[[#This Row],[S04-O]]-1</f>
        <v>-0.11396011396011396</v>
      </c>
      <c r="S330" s="34">
        <f>Rådatakommune[[#This Row],[Y14-O]]/Rådatakommune[[#This Row],[Folk20-64-O]]</f>
        <v>0.9252232142857143</v>
      </c>
    </row>
    <row r="331" spans="1:19" x14ac:dyDescent="0.25">
      <c r="A331" s="2" t="s">
        <v>329</v>
      </c>
      <c r="B331" s="37">
        <v>2260</v>
      </c>
      <c r="C331" s="36">
        <v>2153</v>
      </c>
      <c r="D331" s="33">
        <v>1100</v>
      </c>
      <c r="E331" s="38">
        <v>440</v>
      </c>
      <c r="F331" s="39">
        <v>203</v>
      </c>
      <c r="G331">
        <v>1154</v>
      </c>
      <c r="H331" s="33">
        <v>974</v>
      </c>
      <c r="I331" s="33">
        <v>881</v>
      </c>
      <c r="J331" s="5">
        <v>2342.6600000000003</v>
      </c>
      <c r="K331" s="40">
        <v>341400</v>
      </c>
      <c r="L331" s="45">
        <v>267.75</v>
      </c>
      <c r="M331" s="41">
        <v>6</v>
      </c>
      <c r="N331" s="32">
        <f>Rådatakommune[[#This Row],[B15-O]]/Rådatakommune[[#This Row],[Totalareal2015-O]]</f>
        <v>0.91904074855079254</v>
      </c>
      <c r="O331" s="34">
        <f>Rådatakommune[[#This Row],[B15-O]]/Rådatakommune[[#This Row],[B05-O]]-1</f>
        <v>-4.7345132743362828E-2</v>
      </c>
      <c r="P331" s="34">
        <f>Rådatakommune[[#This Row],[Kvinner20-39-O]]/Rådatakommune[[#This Row],[B15-O]]</f>
        <v>9.4287041337668367E-2</v>
      </c>
      <c r="Q331" s="34">
        <f>Rådatakommune[[#This Row],[Eldre67+-O]]/Rådatakommune[[#This Row],[B15-O]]</f>
        <v>0.20436600092893636</v>
      </c>
      <c r="R331" s="34">
        <f>Rådatakommune[[#This Row],[S14-O]]/Rådatakommune[[#This Row],[S04-O]]-1</f>
        <v>-9.5482546201232088E-2</v>
      </c>
      <c r="S331" s="34">
        <f>Rådatakommune[[#This Row],[Y14-O]]/Rådatakommune[[#This Row],[Folk20-64-O]]</f>
        <v>0.95320623916811087</v>
      </c>
    </row>
    <row r="332" spans="1:19" x14ac:dyDescent="0.25">
      <c r="A332" s="2" t="s">
        <v>330</v>
      </c>
      <c r="B332" s="37">
        <v>1509</v>
      </c>
      <c r="C332" s="36">
        <v>1394</v>
      </c>
      <c r="D332" s="33">
        <v>754</v>
      </c>
      <c r="E332" s="38">
        <v>287</v>
      </c>
      <c r="F332" s="39">
        <v>132</v>
      </c>
      <c r="G332">
        <v>747</v>
      </c>
      <c r="H332" s="33">
        <v>685</v>
      </c>
      <c r="I332" s="33">
        <v>640</v>
      </c>
      <c r="J332" s="5">
        <v>2961.7</v>
      </c>
      <c r="K332" s="40">
        <v>357200</v>
      </c>
      <c r="L332" s="45">
        <v>303.8333333333</v>
      </c>
      <c r="M332" s="41">
        <v>11</v>
      </c>
      <c r="N332" s="32">
        <f>Rådatakommune[[#This Row],[B15-O]]/Rådatakommune[[#This Row],[Totalareal2015-O]]</f>
        <v>0.47067562548536318</v>
      </c>
      <c r="O332" s="34">
        <f>Rådatakommune[[#This Row],[B15-O]]/Rådatakommune[[#This Row],[B05-O]]-1</f>
        <v>-7.6209410205434036E-2</v>
      </c>
      <c r="P332" s="34">
        <f>Rådatakommune[[#This Row],[Kvinner20-39-O]]/Rådatakommune[[#This Row],[B15-O]]</f>
        <v>9.4691535150645628E-2</v>
      </c>
      <c r="Q332" s="34">
        <f>Rådatakommune[[#This Row],[Eldre67+-O]]/Rådatakommune[[#This Row],[B15-O]]</f>
        <v>0.20588235294117646</v>
      </c>
      <c r="R332" s="34">
        <f>Rådatakommune[[#This Row],[S14-O]]/Rådatakommune[[#This Row],[S04-O]]-1</f>
        <v>-6.5693430656934337E-2</v>
      </c>
      <c r="S332" s="34">
        <f>Rådatakommune[[#This Row],[Y14-O]]/Rådatakommune[[#This Row],[Folk20-64-O]]</f>
        <v>1.0093708165997322</v>
      </c>
    </row>
    <row r="333" spans="1:19" x14ac:dyDescent="0.25">
      <c r="A333" s="2" t="s">
        <v>331</v>
      </c>
      <c r="B333" s="37">
        <v>542</v>
      </c>
      <c r="C333" s="36">
        <v>475</v>
      </c>
      <c r="D333" s="33">
        <v>255</v>
      </c>
      <c r="E333" s="38">
        <v>108</v>
      </c>
      <c r="F333" s="39">
        <v>37</v>
      </c>
      <c r="G333">
        <v>244</v>
      </c>
      <c r="H333" s="33">
        <v>219</v>
      </c>
      <c r="I333" s="33">
        <v>213</v>
      </c>
      <c r="J333" s="5">
        <v>1584.7600000000002</v>
      </c>
      <c r="K333" s="40">
        <v>345000</v>
      </c>
      <c r="L333" s="45">
        <v>317.03333333299997</v>
      </c>
      <c r="M333" s="41">
        <v>11</v>
      </c>
      <c r="N333" s="32">
        <f>Rådatakommune[[#This Row],[B15-O]]/Rådatakommune[[#This Row],[Totalareal2015-O]]</f>
        <v>0.29972992756000905</v>
      </c>
      <c r="O333" s="34">
        <f>Rådatakommune[[#This Row],[B15-O]]/Rådatakommune[[#This Row],[B05-O]]-1</f>
        <v>-0.12361623616236161</v>
      </c>
      <c r="P333" s="34">
        <f>Rådatakommune[[#This Row],[Kvinner20-39-O]]/Rådatakommune[[#This Row],[B15-O]]</f>
        <v>7.7894736842105267E-2</v>
      </c>
      <c r="Q333" s="34">
        <f>Rådatakommune[[#This Row],[Eldre67+-O]]/Rådatakommune[[#This Row],[B15-O]]</f>
        <v>0.22736842105263158</v>
      </c>
      <c r="R333" s="34">
        <f>Rådatakommune[[#This Row],[S14-O]]/Rådatakommune[[#This Row],[S04-O]]-1</f>
        <v>-2.7397260273972601E-2</v>
      </c>
      <c r="S333" s="34">
        <f>Rådatakommune[[#This Row],[Y14-O]]/Rådatakommune[[#This Row],[Folk20-64-O]]</f>
        <v>1.0450819672131149</v>
      </c>
    </row>
    <row r="334" spans="1:19" x14ac:dyDescent="0.25">
      <c r="A334" s="2" t="s">
        <v>332</v>
      </c>
      <c r="B334" s="37">
        <v>941</v>
      </c>
      <c r="C334" s="36">
        <v>892</v>
      </c>
      <c r="D334" s="33">
        <v>431</v>
      </c>
      <c r="E334" s="38">
        <v>211</v>
      </c>
      <c r="F334" s="39">
        <v>78</v>
      </c>
      <c r="G334">
        <v>456</v>
      </c>
      <c r="H334" s="33">
        <v>401</v>
      </c>
      <c r="I334" s="33">
        <v>409</v>
      </c>
      <c r="J334" s="5">
        <v>1417.16</v>
      </c>
      <c r="K334" s="40">
        <v>343500</v>
      </c>
      <c r="L334" s="45">
        <v>302.48333333329998</v>
      </c>
      <c r="M334" s="41">
        <v>11</v>
      </c>
      <c r="N334" s="32">
        <f>Rådatakommune[[#This Row],[B15-O]]/Rådatakommune[[#This Row],[Totalareal2015-O]]</f>
        <v>0.62942786982415533</v>
      </c>
      <c r="O334" s="34">
        <f>Rådatakommune[[#This Row],[B15-O]]/Rådatakommune[[#This Row],[B05-O]]-1</f>
        <v>-5.2072263549415521E-2</v>
      </c>
      <c r="P334" s="34">
        <f>Rådatakommune[[#This Row],[Kvinner20-39-O]]/Rådatakommune[[#This Row],[B15-O]]</f>
        <v>8.744394618834081E-2</v>
      </c>
      <c r="Q334" s="34">
        <f>Rådatakommune[[#This Row],[Eldre67+-O]]/Rådatakommune[[#This Row],[B15-O]]</f>
        <v>0.23654708520179371</v>
      </c>
      <c r="R334" s="34">
        <f>Rådatakommune[[#This Row],[S14-O]]/Rådatakommune[[#This Row],[S04-O]]-1</f>
        <v>1.9950124688279391E-2</v>
      </c>
      <c r="S334" s="34">
        <f>Rådatakommune[[#This Row],[Y14-O]]/Rådatakommune[[#This Row],[Folk20-64-O]]</f>
        <v>0.94517543859649122</v>
      </c>
    </row>
    <row r="335" spans="1:19" x14ac:dyDescent="0.25">
      <c r="A335" s="2" t="s">
        <v>333</v>
      </c>
      <c r="B335" s="37">
        <v>2481</v>
      </c>
      <c r="C335" s="36">
        <v>2489</v>
      </c>
      <c r="D335" s="33">
        <v>1170</v>
      </c>
      <c r="E335" s="38">
        <v>456</v>
      </c>
      <c r="F335" s="39">
        <v>239</v>
      </c>
      <c r="G335">
        <v>1387</v>
      </c>
      <c r="H335" s="33">
        <v>1181</v>
      </c>
      <c r="I335" s="33">
        <v>1121</v>
      </c>
      <c r="J335" s="5">
        <v>1136.1699999999998</v>
      </c>
      <c r="K335" s="40">
        <v>331500</v>
      </c>
      <c r="L335" s="45">
        <v>246.6666666667</v>
      </c>
      <c r="M335" s="41">
        <v>6</v>
      </c>
      <c r="N335" s="32">
        <f>Rådatakommune[[#This Row],[B15-O]]/Rådatakommune[[#This Row],[Totalareal2015-O]]</f>
        <v>2.1906932941373212</v>
      </c>
      <c r="O335" s="34">
        <f>Rådatakommune[[#This Row],[B15-O]]/Rådatakommune[[#This Row],[B05-O]]-1</f>
        <v>3.2245062474809405E-3</v>
      </c>
      <c r="P335" s="34">
        <f>Rådatakommune[[#This Row],[Kvinner20-39-O]]/Rådatakommune[[#This Row],[B15-O]]</f>
        <v>9.602249899558056E-2</v>
      </c>
      <c r="Q335" s="34">
        <f>Rådatakommune[[#This Row],[Eldre67+-O]]/Rådatakommune[[#This Row],[B15-O]]</f>
        <v>0.18320610687022901</v>
      </c>
      <c r="R335" s="34">
        <f>Rådatakommune[[#This Row],[S14-O]]/Rådatakommune[[#This Row],[S04-O]]-1</f>
        <v>-5.0804403048264168E-2</v>
      </c>
      <c r="S335" s="34">
        <f>Rådatakommune[[#This Row],[Y14-O]]/Rådatakommune[[#This Row],[Folk20-64-O]]</f>
        <v>0.84354722422494588</v>
      </c>
    </row>
    <row r="336" spans="1:19" x14ac:dyDescent="0.25">
      <c r="A336" s="2" t="s">
        <v>334</v>
      </c>
      <c r="B336" s="37">
        <v>1247</v>
      </c>
      <c r="C336" s="36">
        <v>1252</v>
      </c>
      <c r="D336" s="33">
        <v>655</v>
      </c>
      <c r="E336" s="38">
        <v>247</v>
      </c>
      <c r="F336" s="39">
        <v>115</v>
      </c>
      <c r="G336">
        <v>627</v>
      </c>
      <c r="H336" s="33">
        <v>482</v>
      </c>
      <c r="I336" s="33">
        <v>544</v>
      </c>
      <c r="J336" s="5">
        <v>754.42</v>
      </c>
      <c r="K336" s="40">
        <v>366100</v>
      </c>
      <c r="L336" s="45">
        <v>249.25</v>
      </c>
      <c r="M336" s="41">
        <v>6</v>
      </c>
      <c r="N336" s="32">
        <f>Rådatakommune[[#This Row],[B15-O]]/Rådatakommune[[#This Row],[Totalareal2015-O]]</f>
        <v>1.659553034118926</v>
      </c>
      <c r="O336" s="34">
        <f>Rådatakommune[[#This Row],[B15-O]]/Rådatakommune[[#This Row],[B05-O]]-1</f>
        <v>4.0096230954289602E-3</v>
      </c>
      <c r="P336" s="34">
        <f>Rådatakommune[[#This Row],[Kvinner20-39-O]]/Rådatakommune[[#This Row],[B15-O]]</f>
        <v>9.1853035143769968E-2</v>
      </c>
      <c r="Q336" s="34">
        <f>Rådatakommune[[#This Row],[Eldre67+-O]]/Rådatakommune[[#This Row],[B15-O]]</f>
        <v>0.19728434504792333</v>
      </c>
      <c r="R336" s="34">
        <f>Rådatakommune[[#This Row],[S14-O]]/Rådatakommune[[#This Row],[S04-O]]-1</f>
        <v>0.12863070539419086</v>
      </c>
      <c r="S336" s="34">
        <f>Rådatakommune[[#This Row],[Y14-O]]/Rådatakommune[[#This Row],[Folk20-64-O]]</f>
        <v>1.0446570972886762</v>
      </c>
    </row>
    <row r="337" spans="1:19" x14ac:dyDescent="0.25">
      <c r="A337" s="2" t="s">
        <v>335</v>
      </c>
      <c r="B337" s="37">
        <v>3476</v>
      </c>
      <c r="C337" s="36">
        <v>3751</v>
      </c>
      <c r="D337" s="33">
        <v>1985</v>
      </c>
      <c r="E337" s="38">
        <v>566</v>
      </c>
      <c r="F337" s="39">
        <v>447</v>
      </c>
      <c r="G337">
        <v>2097</v>
      </c>
      <c r="H337" s="33">
        <v>1356</v>
      </c>
      <c r="I337" s="33">
        <v>1489</v>
      </c>
      <c r="J337" s="5">
        <v>729.79</v>
      </c>
      <c r="K337" s="40">
        <v>369100</v>
      </c>
      <c r="L337" s="45">
        <v>227.36666666669998</v>
      </c>
      <c r="M337" s="41">
        <v>6</v>
      </c>
      <c r="N337" s="32">
        <f>Rådatakommune[[#This Row],[B15-O]]/Rådatakommune[[#This Row],[Totalareal2015-O]]</f>
        <v>5.1398347469820092</v>
      </c>
      <c r="O337" s="34">
        <f>Rådatakommune[[#This Row],[B15-O]]/Rådatakommune[[#This Row],[B05-O]]-1</f>
        <v>7.9113924050632889E-2</v>
      </c>
      <c r="P337" s="34">
        <f>Rådatakommune[[#This Row],[Kvinner20-39-O]]/Rådatakommune[[#This Row],[B15-O]]</f>
        <v>0.119168221807518</v>
      </c>
      <c r="Q337" s="34">
        <f>Rådatakommune[[#This Row],[Eldre67+-O]]/Rådatakommune[[#This Row],[B15-O]]</f>
        <v>0.1508930951746201</v>
      </c>
      <c r="R337" s="34">
        <f>Rådatakommune[[#This Row],[S14-O]]/Rådatakommune[[#This Row],[S04-O]]-1</f>
        <v>9.8082595870206513E-2</v>
      </c>
      <c r="S337" s="34">
        <f>Rådatakommune[[#This Row],[Y14-O]]/Rådatakommune[[#This Row],[Folk20-64-O]]</f>
        <v>0.94659036719122558</v>
      </c>
    </row>
    <row r="338" spans="1:19" x14ac:dyDescent="0.25">
      <c r="A338" s="2" t="s">
        <v>336</v>
      </c>
      <c r="B338" s="37">
        <v>717</v>
      </c>
      <c r="C338" s="36">
        <v>630</v>
      </c>
      <c r="D338" s="33">
        <v>296</v>
      </c>
      <c r="E338" s="38">
        <v>149</v>
      </c>
      <c r="F338" s="39">
        <v>58</v>
      </c>
      <c r="G338">
        <v>338</v>
      </c>
      <c r="H338" s="33">
        <v>265</v>
      </c>
      <c r="I338" s="33">
        <v>247</v>
      </c>
      <c r="J338" s="5">
        <v>544.27</v>
      </c>
      <c r="K338" s="40">
        <v>313600</v>
      </c>
      <c r="L338" s="45">
        <v>248.61666666669998</v>
      </c>
      <c r="M338" s="41">
        <v>6</v>
      </c>
      <c r="N338" s="32">
        <f>Rådatakommune[[#This Row],[B15-O]]/Rådatakommune[[#This Row],[Totalareal2015-O]]</f>
        <v>1.15751373399232</v>
      </c>
      <c r="O338" s="34">
        <f>Rådatakommune[[#This Row],[B15-O]]/Rådatakommune[[#This Row],[B05-O]]-1</f>
        <v>-0.12133891213389125</v>
      </c>
      <c r="P338" s="34">
        <f>Rådatakommune[[#This Row],[Kvinner20-39-O]]/Rådatakommune[[#This Row],[B15-O]]</f>
        <v>9.2063492063492069E-2</v>
      </c>
      <c r="Q338" s="34">
        <f>Rådatakommune[[#This Row],[Eldre67+-O]]/Rådatakommune[[#This Row],[B15-O]]</f>
        <v>0.2365079365079365</v>
      </c>
      <c r="R338" s="34">
        <f>Rådatakommune[[#This Row],[S14-O]]/Rådatakommune[[#This Row],[S04-O]]-1</f>
        <v>-6.7924528301886777E-2</v>
      </c>
      <c r="S338" s="34">
        <f>Rådatakommune[[#This Row],[Y14-O]]/Rådatakommune[[#This Row],[Folk20-64-O]]</f>
        <v>0.87573964497041423</v>
      </c>
    </row>
    <row r="339" spans="1:19" x14ac:dyDescent="0.25">
      <c r="A339" s="2" t="s">
        <v>337</v>
      </c>
      <c r="B339" s="37">
        <v>1205</v>
      </c>
      <c r="C339" s="36">
        <v>1119</v>
      </c>
      <c r="D339" s="33">
        <v>614</v>
      </c>
      <c r="E339" s="38">
        <v>220</v>
      </c>
      <c r="F339" s="39">
        <v>98</v>
      </c>
      <c r="G339">
        <v>633</v>
      </c>
      <c r="H339" s="33">
        <v>434</v>
      </c>
      <c r="I339" s="33">
        <v>519</v>
      </c>
      <c r="J339" s="5">
        <v>458.71</v>
      </c>
      <c r="K339" s="40">
        <v>323500</v>
      </c>
      <c r="L339" s="45">
        <v>265.8333333333</v>
      </c>
      <c r="M339" s="41">
        <v>11</v>
      </c>
      <c r="N339" s="32">
        <f>Rådatakommune[[#This Row],[B15-O]]/Rådatakommune[[#This Row],[Totalareal2015-O]]</f>
        <v>2.4394497612870878</v>
      </c>
      <c r="O339" s="34">
        <f>Rådatakommune[[#This Row],[B15-O]]/Rådatakommune[[#This Row],[B05-O]]-1</f>
        <v>-7.1369294605809097E-2</v>
      </c>
      <c r="P339" s="34">
        <f>Rådatakommune[[#This Row],[Kvinner20-39-O]]/Rådatakommune[[#This Row],[B15-O]]</f>
        <v>8.7578194816800708E-2</v>
      </c>
      <c r="Q339" s="34">
        <f>Rådatakommune[[#This Row],[Eldre67+-O]]/Rådatakommune[[#This Row],[B15-O]]</f>
        <v>0.1966041108132261</v>
      </c>
      <c r="R339" s="34">
        <f>Rådatakommune[[#This Row],[S14-O]]/Rådatakommune[[#This Row],[S04-O]]-1</f>
        <v>0.19585253456221197</v>
      </c>
      <c r="S339" s="34">
        <f>Rådatakommune[[#This Row],[Y14-O]]/Rådatakommune[[#This Row],[Folk20-64-O]]</f>
        <v>0.96998420221169035</v>
      </c>
    </row>
    <row r="340" spans="1:19" x14ac:dyDescent="0.25">
      <c r="A340" s="2" t="s">
        <v>338</v>
      </c>
      <c r="B340" s="37">
        <v>4013</v>
      </c>
      <c r="C340" s="36">
        <v>4363</v>
      </c>
      <c r="D340" s="33">
        <v>2218</v>
      </c>
      <c r="E340" s="38">
        <v>634</v>
      </c>
      <c r="F340" s="39">
        <v>522</v>
      </c>
      <c r="G340">
        <v>2459</v>
      </c>
      <c r="H340" s="33">
        <v>2162</v>
      </c>
      <c r="I340" s="33">
        <v>2484</v>
      </c>
      <c r="J340" s="5">
        <v>318.65999999999997</v>
      </c>
      <c r="K340" s="40">
        <v>381600</v>
      </c>
      <c r="L340" s="45">
        <v>219.71666666666999</v>
      </c>
      <c r="M340" s="41">
        <v>9</v>
      </c>
      <c r="N340" s="32">
        <f>Rådatakommune[[#This Row],[B15-O]]/Rådatakommune[[#This Row],[Totalareal2015-O]]</f>
        <v>13.691709031569699</v>
      </c>
      <c r="O340" s="34">
        <f>Rådatakommune[[#This Row],[B15-O]]/Rådatakommune[[#This Row],[B05-O]]-1</f>
        <v>8.7216546224769598E-2</v>
      </c>
      <c r="P340" s="34">
        <f>Rådatakommune[[#This Row],[Kvinner20-39-O]]/Rådatakommune[[#This Row],[B15-O]]</f>
        <v>0.11964244785697914</v>
      </c>
      <c r="Q340" s="34">
        <f>Rådatakommune[[#This Row],[Eldre67+-O]]/Rådatakommune[[#This Row],[B15-O]]</f>
        <v>0.14531285812514325</v>
      </c>
      <c r="R340" s="34">
        <f>Rådatakommune[[#This Row],[S14-O]]/Rådatakommune[[#This Row],[S04-O]]-1</f>
        <v>0.14893617021276606</v>
      </c>
      <c r="S340" s="34">
        <f>Rådatakommune[[#This Row],[Y14-O]]/Rådatakommune[[#This Row],[Folk20-64-O]]</f>
        <v>0.90199267995119969</v>
      </c>
    </row>
    <row r="341" spans="1:19" x14ac:dyDescent="0.25">
      <c r="A341" s="2" t="s">
        <v>339</v>
      </c>
      <c r="B341" s="37">
        <v>5233</v>
      </c>
      <c r="C341" s="36">
        <v>5081</v>
      </c>
      <c r="D341" s="33">
        <v>2522</v>
      </c>
      <c r="E341" s="38">
        <v>890</v>
      </c>
      <c r="F341" s="39">
        <v>501</v>
      </c>
      <c r="G341">
        <v>2802</v>
      </c>
      <c r="H341" s="33">
        <v>1942</v>
      </c>
      <c r="I341" s="33">
        <v>2003</v>
      </c>
      <c r="J341" s="5">
        <v>1067.54</v>
      </c>
      <c r="K341" s="40">
        <v>357500</v>
      </c>
      <c r="L341" s="45">
        <v>233.0833333333</v>
      </c>
      <c r="M341" s="41">
        <v>9</v>
      </c>
      <c r="N341" s="32">
        <f>Rådatakommune[[#This Row],[B15-O]]/Rådatakommune[[#This Row],[Totalareal2015-O]]</f>
        <v>4.7595406261123703</v>
      </c>
      <c r="O341" s="34">
        <f>Rådatakommune[[#This Row],[B15-O]]/Rådatakommune[[#This Row],[B05-O]]-1</f>
        <v>-2.9046436078731142E-2</v>
      </c>
      <c r="P341" s="34">
        <f>Rådatakommune[[#This Row],[Kvinner20-39-O]]/Rådatakommune[[#This Row],[B15-O]]</f>
        <v>9.8602637276126753E-2</v>
      </c>
      <c r="Q341" s="34">
        <f>Rådatakommune[[#This Row],[Eldre67+-O]]/Rådatakommune[[#This Row],[B15-O]]</f>
        <v>0.17516236961228104</v>
      </c>
      <c r="R341" s="34">
        <f>Rådatakommune[[#This Row],[S14-O]]/Rådatakommune[[#This Row],[S04-O]]-1</f>
        <v>3.1410916580844495E-2</v>
      </c>
      <c r="S341" s="34">
        <f>Rådatakommune[[#This Row],[Y14-O]]/Rådatakommune[[#This Row],[Folk20-64-O]]</f>
        <v>0.90007137758743749</v>
      </c>
    </row>
    <row r="342" spans="1:19" x14ac:dyDescent="0.25">
      <c r="A342" s="2" t="s">
        <v>340</v>
      </c>
      <c r="B342" s="37">
        <v>609</v>
      </c>
      <c r="C342" s="36">
        <v>574</v>
      </c>
      <c r="D342" s="33">
        <v>284</v>
      </c>
      <c r="E342" s="38">
        <v>158</v>
      </c>
      <c r="F342" s="39">
        <v>43</v>
      </c>
      <c r="G342">
        <v>294</v>
      </c>
      <c r="H342" s="33">
        <v>249</v>
      </c>
      <c r="I342" s="33">
        <v>277</v>
      </c>
      <c r="J342" s="5">
        <v>110.02</v>
      </c>
      <c r="K342" s="40">
        <v>334000</v>
      </c>
      <c r="L342" s="45">
        <v>295.2</v>
      </c>
      <c r="M342" s="41">
        <v>11</v>
      </c>
      <c r="N342" s="32">
        <f>Rådatakommune[[#This Row],[B15-O]]/Rådatakommune[[#This Row],[Totalareal2015-O]]</f>
        <v>5.2172332303217601</v>
      </c>
      <c r="O342" s="34">
        <f>Rådatakommune[[#This Row],[B15-O]]/Rådatakommune[[#This Row],[B05-O]]-1</f>
        <v>-5.7471264367816133E-2</v>
      </c>
      <c r="P342" s="34">
        <f>Rådatakommune[[#This Row],[Kvinner20-39-O]]/Rådatakommune[[#This Row],[B15-O]]</f>
        <v>7.4912891986062713E-2</v>
      </c>
      <c r="Q342" s="34">
        <f>Rådatakommune[[#This Row],[Eldre67+-O]]/Rådatakommune[[#This Row],[B15-O]]</f>
        <v>0.27526132404181186</v>
      </c>
      <c r="R342" s="34">
        <f>Rådatakommune[[#This Row],[S14-O]]/Rådatakommune[[#This Row],[S04-O]]-1</f>
        <v>0.11244979919678721</v>
      </c>
      <c r="S342" s="34">
        <f>Rådatakommune[[#This Row],[Y14-O]]/Rådatakommune[[#This Row],[Folk20-64-O]]</f>
        <v>0.96598639455782309</v>
      </c>
    </row>
    <row r="343" spans="1:19" x14ac:dyDescent="0.25">
      <c r="A343" s="2" t="s">
        <v>341</v>
      </c>
      <c r="B343" s="37">
        <v>6796</v>
      </c>
      <c r="C343" s="36">
        <v>6770</v>
      </c>
      <c r="D343" s="33">
        <v>3340</v>
      </c>
      <c r="E343" s="38">
        <v>1091</v>
      </c>
      <c r="F343" s="39">
        <v>699</v>
      </c>
      <c r="G343">
        <v>3755</v>
      </c>
      <c r="H343" s="42">
        <v>2131</v>
      </c>
      <c r="I343" s="33">
        <v>2286</v>
      </c>
      <c r="J343" s="5">
        <v>365.67</v>
      </c>
      <c r="K343" s="40">
        <v>358900</v>
      </c>
      <c r="L343" s="45">
        <v>216.03333333329999</v>
      </c>
      <c r="M343" s="41">
        <v>6</v>
      </c>
      <c r="N343" s="32">
        <f>Rådatakommune[[#This Row],[B15-O]]/Rådatakommune[[#This Row],[Totalareal2015-O]]</f>
        <v>18.513960674925478</v>
      </c>
      <c r="O343" s="34">
        <f>Rådatakommune[[#This Row],[B15-O]]/Rådatakommune[[#This Row],[B05-O]]-1</f>
        <v>-3.8257798705120249E-3</v>
      </c>
      <c r="P343" s="34">
        <f>Rådatakommune[[#This Row],[Kvinner20-39-O]]/Rådatakommune[[#This Row],[B15-O]]</f>
        <v>0.10324963072378139</v>
      </c>
      <c r="Q343" s="34">
        <f>Rådatakommune[[#This Row],[Eldre67+-O]]/Rådatakommune[[#This Row],[B15-O]]</f>
        <v>0.16115214180206794</v>
      </c>
      <c r="R343" s="34">
        <f>Rådatakommune[[#This Row],[S14-O]]/Rådatakommune[[#This Row],[S04-O]]-1</f>
        <v>7.2735804786485225E-2</v>
      </c>
      <c r="S343" s="34">
        <f>Rådatakommune[[#This Row],[Y14-O]]/Rådatakommune[[#This Row],[Folk20-64-O]]</f>
        <v>0.88948069241011984</v>
      </c>
    </row>
    <row r="344" spans="1:19" x14ac:dyDescent="0.25">
      <c r="A344" s="2" t="s">
        <v>342</v>
      </c>
      <c r="B344" s="37">
        <v>44414</v>
      </c>
      <c r="C344" s="36">
        <v>50185</v>
      </c>
      <c r="D344" s="33">
        <v>27034</v>
      </c>
      <c r="E344" s="38">
        <v>6255</v>
      </c>
      <c r="F344" s="39">
        <v>6678</v>
      </c>
      <c r="G344">
        <v>30523</v>
      </c>
      <c r="H344" s="33">
        <v>24736</v>
      </c>
      <c r="I344" s="33">
        <v>27851</v>
      </c>
      <c r="J344" s="5">
        <v>1395.25</v>
      </c>
      <c r="K344" s="40">
        <v>405800</v>
      </c>
      <c r="L344" s="45">
        <v>187.86666666667</v>
      </c>
      <c r="M344" s="41">
        <v>4</v>
      </c>
      <c r="N344" s="32">
        <f>Rådatakommune[[#This Row],[B15-O]]/Rådatakommune[[#This Row],[Totalareal2015-O]]</f>
        <v>35.968464432897328</v>
      </c>
      <c r="O344" s="35">
        <f>Rådatakommune[[#This Row],[B15-O]]/Rådatakommune[[#This Row],[B05-O]]-1</f>
        <v>0.12993650650695732</v>
      </c>
      <c r="P344" s="34">
        <f>Rådatakommune[[#This Row],[Kvinner20-39-O]]/Rådatakommune[[#This Row],[B15-O]]</f>
        <v>0.13306764969612433</v>
      </c>
      <c r="Q344" s="34">
        <f>Rådatakommune[[#This Row],[Eldre67+-O]]/Rådatakommune[[#This Row],[B15-O]]</f>
        <v>0.12463883630566902</v>
      </c>
      <c r="R344" s="34">
        <f>Rådatakommune[[#This Row],[S14-O]]/Rådatakommune[[#This Row],[S04-O]]-1</f>
        <v>0.12592981888745158</v>
      </c>
      <c r="S344" s="34">
        <f>Rådatakommune[[#This Row],[Y14-O]]/Rådatakommune[[#This Row],[Folk20-64-O]]</f>
        <v>0.88569275628214794</v>
      </c>
    </row>
    <row r="345" spans="1:19" x14ac:dyDescent="0.25">
      <c r="A345" s="2" t="s">
        <v>343</v>
      </c>
      <c r="B345" s="37">
        <v>18512</v>
      </c>
      <c r="C345" s="36">
        <v>18853</v>
      </c>
      <c r="D345" s="33">
        <v>9283</v>
      </c>
      <c r="E345" s="38">
        <v>3040</v>
      </c>
      <c r="F345" s="39">
        <v>2277</v>
      </c>
      <c r="G345">
        <v>11122</v>
      </c>
      <c r="H345" s="33">
        <v>8711</v>
      </c>
      <c r="I345" s="33">
        <v>9476</v>
      </c>
      <c r="J345" s="5">
        <v>2023.02</v>
      </c>
      <c r="K345" s="40">
        <v>375700</v>
      </c>
      <c r="L345" s="45">
        <v>251.65</v>
      </c>
      <c r="M345" s="41">
        <v>5</v>
      </c>
      <c r="N345" s="32">
        <f>Rådatakommune[[#This Row],[B15-O]]/Rådatakommune[[#This Row],[Totalareal2015-O]]</f>
        <v>9.3192355982639814</v>
      </c>
      <c r="O345" s="34">
        <f>Rådatakommune[[#This Row],[B15-O]]/Rådatakommune[[#This Row],[B05-O]]-1</f>
        <v>1.8420484010371663E-2</v>
      </c>
      <c r="P345" s="34">
        <f>Rådatakommune[[#This Row],[Kvinner20-39-O]]/Rådatakommune[[#This Row],[B15-O]]</f>
        <v>0.12077653423858271</v>
      </c>
      <c r="Q345" s="34">
        <f>Rådatakommune[[#This Row],[Eldre67+-O]]/Rådatakommune[[#This Row],[B15-O]]</f>
        <v>0.16124754680952633</v>
      </c>
      <c r="R345" s="34">
        <f>Rådatakommune[[#This Row],[S14-O]]/Rådatakommune[[#This Row],[S04-O]]-1</f>
        <v>8.7819997704052355E-2</v>
      </c>
      <c r="S345" s="34">
        <f>Rådatakommune[[#This Row],[Y14-O]]/Rådatakommune[[#This Row],[Folk20-64-O]]</f>
        <v>0.83465204099982016</v>
      </c>
    </row>
    <row r="346" spans="1:19" x14ac:dyDescent="0.25">
      <c r="A346" s="2" t="s">
        <v>344</v>
      </c>
      <c r="B346" s="37">
        <v>1778</v>
      </c>
      <c r="C346" s="36">
        <v>1482</v>
      </c>
      <c r="D346" s="33">
        <v>652</v>
      </c>
      <c r="E346" s="38">
        <v>333</v>
      </c>
      <c r="F346" s="39">
        <v>118</v>
      </c>
      <c r="G346">
        <v>768</v>
      </c>
      <c r="H346" s="33">
        <v>686</v>
      </c>
      <c r="I346" s="33">
        <v>477</v>
      </c>
      <c r="J346" s="5">
        <v>1264.25</v>
      </c>
      <c r="K346" s="40">
        <v>316600</v>
      </c>
      <c r="L346" s="45">
        <v>275.45</v>
      </c>
      <c r="M346" s="41">
        <v>11</v>
      </c>
      <c r="N346" s="32">
        <f>Rådatakommune[[#This Row],[B15-O]]/Rådatakommune[[#This Row],[Totalareal2015-O]]</f>
        <v>1.1722365038560412</v>
      </c>
      <c r="O346" s="34">
        <f>Rådatakommune[[#This Row],[B15-O]]/Rådatakommune[[#This Row],[B05-O]]-1</f>
        <v>-0.16647919010123735</v>
      </c>
      <c r="P346" s="34">
        <f>Rådatakommune[[#This Row],[Kvinner20-39-O]]/Rådatakommune[[#This Row],[B15-O]]</f>
        <v>7.9622132253711203E-2</v>
      </c>
      <c r="Q346" s="34">
        <f>Rådatakommune[[#This Row],[Eldre67+-O]]/Rådatakommune[[#This Row],[B15-O]]</f>
        <v>0.22469635627530365</v>
      </c>
      <c r="R346" s="34">
        <f>Rådatakommune[[#This Row],[S14-O]]/Rådatakommune[[#This Row],[S04-O]]-1</f>
        <v>-0.30466472303206993</v>
      </c>
      <c r="S346" s="34">
        <f>Rådatakommune[[#This Row],[Y14-O]]/Rådatakommune[[#This Row],[Folk20-64-O]]</f>
        <v>0.84895833333333337</v>
      </c>
    </row>
    <row r="347" spans="1:19" x14ac:dyDescent="0.25">
      <c r="A347" s="2" t="s">
        <v>345</v>
      </c>
      <c r="B347" s="37">
        <v>2075</v>
      </c>
      <c r="C347" s="36">
        <v>2063</v>
      </c>
      <c r="D347" s="33">
        <v>1031</v>
      </c>
      <c r="E347" s="38">
        <v>376</v>
      </c>
      <c r="F347" s="39">
        <v>202</v>
      </c>
      <c r="G347">
        <v>1120</v>
      </c>
      <c r="H347" s="33">
        <v>843</v>
      </c>
      <c r="I347" s="33">
        <v>872</v>
      </c>
      <c r="J347" s="5">
        <v>195.26</v>
      </c>
      <c r="K347" s="40">
        <v>359000</v>
      </c>
      <c r="L347" s="45">
        <v>233.98333333330001</v>
      </c>
      <c r="M347" s="41">
        <v>7</v>
      </c>
      <c r="N347" s="32">
        <f>Rådatakommune[[#This Row],[B15-O]]/Rådatakommune[[#This Row],[Totalareal2015-O]]</f>
        <v>10.565399979514494</v>
      </c>
      <c r="O347" s="34">
        <f>Rådatakommune[[#This Row],[B15-O]]/Rådatakommune[[#This Row],[B05-O]]-1</f>
        <v>-5.7831325301205272E-3</v>
      </c>
      <c r="P347" s="34">
        <f>Rådatakommune[[#This Row],[Kvinner20-39-O]]/Rådatakommune[[#This Row],[B15-O]]</f>
        <v>9.7915656810470195E-2</v>
      </c>
      <c r="Q347" s="34">
        <f>Rådatakommune[[#This Row],[Eldre67+-O]]/Rådatakommune[[#This Row],[B15-O]]</f>
        <v>0.18225884634028114</v>
      </c>
      <c r="R347" s="34">
        <f>Rådatakommune[[#This Row],[S14-O]]/Rådatakommune[[#This Row],[S04-O]]-1</f>
        <v>3.4400948991696323E-2</v>
      </c>
      <c r="S347" s="34">
        <f>Rådatakommune[[#This Row],[Y14-O]]/Rådatakommune[[#This Row],[Folk20-64-O]]</f>
        <v>0.92053571428571423</v>
      </c>
    </row>
    <row r="348" spans="1:19" x14ac:dyDescent="0.25">
      <c r="A348" s="2" t="s">
        <v>346</v>
      </c>
      <c r="B348" s="37">
        <v>7585</v>
      </c>
      <c r="C348" s="36">
        <v>7934</v>
      </c>
      <c r="D348" s="33">
        <v>4019</v>
      </c>
      <c r="E348" s="38">
        <v>1162</v>
      </c>
      <c r="F348" s="39">
        <v>890</v>
      </c>
      <c r="G348">
        <v>4516</v>
      </c>
      <c r="H348" s="33">
        <v>3418</v>
      </c>
      <c r="I348" s="33">
        <v>3922</v>
      </c>
      <c r="J348" s="5">
        <v>1046.4100000000001</v>
      </c>
      <c r="K348" s="40">
        <v>368300</v>
      </c>
      <c r="L348" s="45">
        <v>201.36666666667</v>
      </c>
      <c r="M348" s="41">
        <v>7</v>
      </c>
      <c r="N348" s="32">
        <f>Rådatakommune[[#This Row],[B15-O]]/Rådatakommune[[#This Row],[Totalareal2015-O]]</f>
        <v>7.5821140853011721</v>
      </c>
      <c r="O348" s="34">
        <f>Rådatakommune[[#This Row],[B15-O]]/Rådatakommune[[#This Row],[B05-O]]-1</f>
        <v>4.6011865524060669E-2</v>
      </c>
      <c r="P348" s="34">
        <f>Rådatakommune[[#This Row],[Kvinner20-39-O]]/Rådatakommune[[#This Row],[B15-O]]</f>
        <v>0.11217544744139148</v>
      </c>
      <c r="Q348" s="34">
        <f>Rådatakommune[[#This Row],[Eldre67+-O]]/Rådatakommune[[#This Row],[B15-O]]</f>
        <v>0.14645828081673809</v>
      </c>
      <c r="R348" s="34">
        <f>Rådatakommune[[#This Row],[S14-O]]/Rådatakommune[[#This Row],[S04-O]]-1</f>
        <v>0.14745465184318318</v>
      </c>
      <c r="S348" s="34">
        <f>Rådatakommune[[#This Row],[Y14-O]]/Rådatakommune[[#This Row],[Folk20-64-O]]</f>
        <v>0.88994685562444642</v>
      </c>
    </row>
    <row r="349" spans="1:19" x14ac:dyDescent="0.25">
      <c r="A349" s="2" t="s">
        <v>347</v>
      </c>
      <c r="B349" s="37">
        <v>1356</v>
      </c>
      <c r="C349" s="36">
        <v>1225</v>
      </c>
      <c r="D349" s="33">
        <v>611</v>
      </c>
      <c r="E349" s="38">
        <v>256</v>
      </c>
      <c r="F349" s="39">
        <v>113</v>
      </c>
      <c r="G349">
        <v>651</v>
      </c>
      <c r="H349" s="33">
        <v>499</v>
      </c>
      <c r="I349" s="33">
        <v>492</v>
      </c>
      <c r="J349" s="5">
        <v>164.94</v>
      </c>
      <c r="K349" s="40">
        <v>338400</v>
      </c>
      <c r="L349" s="45">
        <v>279.1666666667</v>
      </c>
      <c r="M349" s="41">
        <v>9</v>
      </c>
      <c r="N349" s="32">
        <f>Rådatakommune[[#This Row],[B15-O]]/Rådatakommune[[#This Row],[Totalareal2015-O]]</f>
        <v>7.426943130835455</v>
      </c>
      <c r="O349" s="34">
        <f>Rådatakommune[[#This Row],[B15-O]]/Rådatakommune[[#This Row],[B05-O]]-1</f>
        <v>-9.6607669616519121E-2</v>
      </c>
      <c r="P349" s="34">
        <f>Rådatakommune[[#This Row],[Kvinner20-39-O]]/Rådatakommune[[#This Row],[B15-O]]</f>
        <v>9.2244897959183669E-2</v>
      </c>
      <c r="Q349" s="34">
        <f>Rådatakommune[[#This Row],[Eldre67+-O]]/Rådatakommune[[#This Row],[B15-O]]</f>
        <v>0.2089795918367347</v>
      </c>
      <c r="R349" s="34">
        <f>Rådatakommune[[#This Row],[S14-O]]/Rådatakommune[[#This Row],[S04-O]]-1</f>
        <v>-1.4028056112224463E-2</v>
      </c>
      <c r="S349" s="34">
        <f>Rådatakommune[[#This Row],[Y14-O]]/Rådatakommune[[#This Row],[Folk20-64-O]]</f>
        <v>0.93855606758832566</v>
      </c>
    </row>
    <row r="350" spans="1:19" x14ac:dyDescent="0.25">
      <c r="A350" s="2" t="s">
        <v>348</v>
      </c>
      <c r="B350" s="37">
        <v>524</v>
      </c>
      <c r="C350" s="36">
        <v>510</v>
      </c>
      <c r="D350" s="33">
        <v>252</v>
      </c>
      <c r="E350" s="38">
        <v>108</v>
      </c>
      <c r="F350" s="39">
        <v>44</v>
      </c>
      <c r="G350">
        <v>272</v>
      </c>
      <c r="H350" s="33">
        <v>213</v>
      </c>
      <c r="I350" s="33">
        <v>196</v>
      </c>
      <c r="J350" s="5">
        <v>538.9</v>
      </c>
      <c r="K350" s="40">
        <v>332600</v>
      </c>
      <c r="L350" s="45">
        <v>247.2</v>
      </c>
      <c r="M350" s="41">
        <v>7</v>
      </c>
      <c r="N350" s="32">
        <f>Rådatakommune[[#This Row],[B15-O]]/Rådatakommune[[#This Row],[Totalareal2015-O]]</f>
        <v>0.94637223974763407</v>
      </c>
      <c r="O350" s="34">
        <f>Rådatakommune[[#This Row],[B15-O]]/Rådatakommune[[#This Row],[B05-O]]-1</f>
        <v>-2.6717557251908386E-2</v>
      </c>
      <c r="P350" s="34">
        <f>Rådatakommune[[#This Row],[Kvinner20-39-O]]/Rådatakommune[[#This Row],[B15-O]]</f>
        <v>8.6274509803921567E-2</v>
      </c>
      <c r="Q350" s="34">
        <f>Rådatakommune[[#This Row],[Eldre67+-O]]/Rådatakommune[[#This Row],[B15-O]]</f>
        <v>0.21176470588235294</v>
      </c>
      <c r="R350" s="34">
        <f>Rådatakommune[[#This Row],[S14-O]]/Rådatakommune[[#This Row],[S04-O]]-1</f>
        <v>-7.9812206572769995E-2</v>
      </c>
      <c r="S350" s="34">
        <f>Rådatakommune[[#This Row],[Y14-O]]/Rådatakommune[[#This Row],[Folk20-64-O]]</f>
        <v>0.92647058823529416</v>
      </c>
    </row>
    <row r="351" spans="1:19" x14ac:dyDescent="0.25">
      <c r="A351" s="2" t="s">
        <v>349</v>
      </c>
      <c r="B351" s="37">
        <v>1739</v>
      </c>
      <c r="C351" s="36">
        <v>1737</v>
      </c>
      <c r="D351" s="33">
        <v>846</v>
      </c>
      <c r="E351" s="38">
        <v>317</v>
      </c>
      <c r="F351" s="39">
        <v>180</v>
      </c>
      <c r="G351">
        <v>1020</v>
      </c>
      <c r="H351" s="33">
        <v>786</v>
      </c>
      <c r="I351" s="33">
        <v>845</v>
      </c>
      <c r="J351" s="5">
        <v>64.37</v>
      </c>
      <c r="K351" s="40">
        <v>342900</v>
      </c>
      <c r="L351" s="45">
        <v>266.48333333330004</v>
      </c>
      <c r="M351" s="41">
        <v>9</v>
      </c>
      <c r="N351" s="32">
        <f>Rådatakommune[[#This Row],[B15-O]]/Rådatakommune[[#This Row],[Totalareal2015-O]]</f>
        <v>26.984620164672982</v>
      </c>
      <c r="O351" s="34">
        <f>Rådatakommune[[#This Row],[B15-O]]/Rådatakommune[[#This Row],[B05-O]]-1</f>
        <v>-1.1500862564692849E-3</v>
      </c>
      <c r="P351" s="34">
        <f>Rådatakommune[[#This Row],[Kvinner20-39-O]]/Rådatakommune[[#This Row],[B15-O]]</f>
        <v>0.10362694300518134</v>
      </c>
      <c r="Q351" s="34">
        <f>Rådatakommune[[#This Row],[Eldre67+-O]]/Rådatakommune[[#This Row],[B15-O]]</f>
        <v>0.18249856073690271</v>
      </c>
      <c r="R351" s="34">
        <f>Rådatakommune[[#This Row],[S14-O]]/Rådatakommune[[#This Row],[S04-O]]-1</f>
        <v>7.5063613231552084E-2</v>
      </c>
      <c r="S351" s="34">
        <f>Rådatakommune[[#This Row],[Y14-O]]/Rådatakommune[[#This Row],[Folk20-64-O]]</f>
        <v>0.8294117647058824</v>
      </c>
    </row>
    <row r="352" spans="1:19" x14ac:dyDescent="0.25">
      <c r="A352" s="2" t="s">
        <v>350</v>
      </c>
      <c r="B352" s="37">
        <v>7398</v>
      </c>
      <c r="C352" s="36">
        <v>7454</v>
      </c>
      <c r="D352" s="33">
        <v>3677</v>
      </c>
      <c r="E352" s="38">
        <v>1146</v>
      </c>
      <c r="F352" s="39">
        <v>854</v>
      </c>
      <c r="G352">
        <v>4307</v>
      </c>
      <c r="H352" s="33">
        <v>3529</v>
      </c>
      <c r="I352" s="33">
        <v>4038</v>
      </c>
      <c r="J352" s="5">
        <v>187.60999999999999</v>
      </c>
      <c r="K352" s="40">
        <v>370900</v>
      </c>
      <c r="L352" s="45">
        <v>238.9</v>
      </c>
      <c r="M352" s="41">
        <v>7</v>
      </c>
      <c r="N352" s="32">
        <f>Rådatakommune[[#This Row],[B15-O]]/Rådatakommune[[#This Row],[Totalareal2015-O]]</f>
        <v>39.731357603539259</v>
      </c>
      <c r="O352" s="34">
        <f>Rådatakommune[[#This Row],[B15-O]]/Rådatakommune[[#This Row],[B05-O]]-1</f>
        <v>7.5696134090295075E-3</v>
      </c>
      <c r="P352" s="34">
        <f>Rådatakommune[[#This Row],[Kvinner20-39-O]]/Rådatakommune[[#This Row],[B15-O]]</f>
        <v>0.11456935873356587</v>
      </c>
      <c r="Q352" s="34">
        <f>Rådatakommune[[#This Row],[Eldre67+-O]]/Rådatakommune[[#This Row],[B15-O]]</f>
        <v>0.15374295680171721</v>
      </c>
      <c r="R352" s="34">
        <f>Rådatakommune[[#This Row],[S14-O]]/Rådatakommune[[#This Row],[S04-O]]-1</f>
        <v>0.14423349390762263</v>
      </c>
      <c r="S352" s="34">
        <f>Rådatakommune[[#This Row],[Y14-O]]/Rådatakommune[[#This Row],[Folk20-64-O]]</f>
        <v>0.85372649175760396</v>
      </c>
    </row>
    <row r="353" spans="1:19" x14ac:dyDescent="0.25">
      <c r="A353" s="2" t="s">
        <v>351</v>
      </c>
      <c r="B353" s="37">
        <v>2156</v>
      </c>
      <c r="C353" s="36">
        <v>2188</v>
      </c>
      <c r="D353" s="33">
        <v>1079</v>
      </c>
      <c r="E353" s="38">
        <v>349</v>
      </c>
      <c r="F353" s="39">
        <v>241</v>
      </c>
      <c r="G353">
        <v>1266</v>
      </c>
      <c r="H353" s="33">
        <v>711</v>
      </c>
      <c r="I353" s="33">
        <v>668</v>
      </c>
      <c r="J353" s="5">
        <v>465.22</v>
      </c>
      <c r="K353" s="40">
        <v>339800</v>
      </c>
      <c r="L353" s="45">
        <v>251.4333333333</v>
      </c>
      <c r="M353" s="41">
        <v>7</v>
      </c>
      <c r="N353" s="32">
        <f>Rådatakommune[[#This Row],[B15-O]]/Rådatakommune[[#This Row],[Totalareal2015-O]]</f>
        <v>4.703151197283006</v>
      </c>
      <c r="O353" s="34">
        <f>Rådatakommune[[#This Row],[B15-O]]/Rådatakommune[[#This Row],[B05-O]]-1</f>
        <v>1.4842300556586308E-2</v>
      </c>
      <c r="P353" s="34">
        <f>Rådatakommune[[#This Row],[Kvinner20-39-O]]/Rådatakommune[[#This Row],[B15-O]]</f>
        <v>0.11014625228519195</v>
      </c>
      <c r="Q353" s="34">
        <f>Rådatakommune[[#This Row],[Eldre67+-O]]/Rådatakommune[[#This Row],[B15-O]]</f>
        <v>0.15950639853747714</v>
      </c>
      <c r="R353" s="34">
        <f>Rådatakommune[[#This Row],[S14-O]]/Rådatakommune[[#This Row],[S04-O]]-1</f>
        <v>-6.0478199718706049E-2</v>
      </c>
      <c r="S353" s="34">
        <f>Rådatakommune[[#This Row],[Y14-O]]/Rådatakommune[[#This Row],[Folk20-64-O]]</f>
        <v>0.85229067930489733</v>
      </c>
    </row>
    <row r="354" spans="1:19" x14ac:dyDescent="0.25">
      <c r="A354" s="2" t="s">
        <v>352</v>
      </c>
      <c r="B354" s="37">
        <v>13486</v>
      </c>
      <c r="C354" s="36">
        <v>13352</v>
      </c>
      <c r="D354" s="33">
        <v>6727</v>
      </c>
      <c r="E354" s="38">
        <v>2308</v>
      </c>
      <c r="F354" s="39">
        <v>1470</v>
      </c>
      <c r="G354">
        <v>7592</v>
      </c>
      <c r="H354" s="33">
        <v>6564</v>
      </c>
      <c r="I354" s="33">
        <v>6838</v>
      </c>
      <c r="J354" s="5">
        <v>1928.81</v>
      </c>
      <c r="K354" s="40">
        <v>367900</v>
      </c>
      <c r="L354" s="45">
        <v>236.11666666667</v>
      </c>
      <c r="M354" s="41">
        <v>6</v>
      </c>
      <c r="N354" s="32">
        <f>Rådatakommune[[#This Row],[B15-O]]/Rådatakommune[[#This Row],[Totalareal2015-O]]</f>
        <v>6.9224029323779952</v>
      </c>
      <c r="O354" s="34">
        <f>Rådatakommune[[#This Row],[B15-O]]/Rådatakommune[[#This Row],[B05-O]]-1</f>
        <v>-9.9362301646152007E-3</v>
      </c>
      <c r="P354" s="34">
        <f>Rådatakommune[[#This Row],[Kvinner20-39-O]]/Rådatakommune[[#This Row],[B15-O]]</f>
        <v>0.11009586578789694</v>
      </c>
      <c r="Q354" s="34">
        <f>Rådatakommune[[#This Row],[Eldre67+-O]]/Rådatakommune[[#This Row],[B15-O]]</f>
        <v>0.17285799880167765</v>
      </c>
      <c r="R354" s="34">
        <f>Rådatakommune[[#This Row],[S14-O]]/Rådatakommune[[#This Row],[S04-O]]-1</f>
        <v>4.1742839731870873E-2</v>
      </c>
      <c r="S354" s="34">
        <f>Rådatakommune[[#This Row],[Y14-O]]/Rådatakommune[[#This Row],[Folk20-64-O]]</f>
        <v>0.88606427818756583</v>
      </c>
    </row>
    <row r="355" spans="1:19" x14ac:dyDescent="0.25">
      <c r="A355" s="2" t="s">
        <v>353</v>
      </c>
      <c r="B355" s="37">
        <v>1544</v>
      </c>
      <c r="C355" s="36">
        <v>1458</v>
      </c>
      <c r="D355" s="33">
        <v>716</v>
      </c>
      <c r="E355" s="38">
        <v>318</v>
      </c>
      <c r="F355" s="39">
        <v>135</v>
      </c>
      <c r="G355">
        <v>783</v>
      </c>
      <c r="H355" s="33">
        <v>523</v>
      </c>
      <c r="I355" s="33">
        <v>521</v>
      </c>
      <c r="J355" s="5">
        <v>2004.15</v>
      </c>
      <c r="K355" s="40">
        <v>340200</v>
      </c>
      <c r="L355" s="45">
        <v>260.6666666667</v>
      </c>
      <c r="M355" s="41">
        <v>6</v>
      </c>
      <c r="N355" s="32">
        <f>Rådatakommune[[#This Row],[B15-O]]/Rådatakommune[[#This Row],[Totalareal2015-O]]</f>
        <v>0.72749045730110018</v>
      </c>
      <c r="O355" s="34">
        <f>Rådatakommune[[#This Row],[B15-O]]/Rådatakommune[[#This Row],[B05-O]]-1</f>
        <v>-5.569948186528495E-2</v>
      </c>
      <c r="P355" s="34">
        <f>Rådatakommune[[#This Row],[Kvinner20-39-O]]/Rådatakommune[[#This Row],[B15-O]]</f>
        <v>9.2592592592592587E-2</v>
      </c>
      <c r="Q355" s="34">
        <f>Rådatakommune[[#This Row],[Eldre67+-O]]/Rådatakommune[[#This Row],[B15-O]]</f>
        <v>0.21810699588477367</v>
      </c>
      <c r="R355" s="34">
        <f>Rådatakommune[[#This Row],[S14-O]]/Rådatakommune[[#This Row],[S04-O]]-1</f>
        <v>-3.8240917782026429E-3</v>
      </c>
      <c r="S355" s="34">
        <f>Rådatakommune[[#This Row],[Y14-O]]/Rådatakommune[[#This Row],[Folk20-64-O]]</f>
        <v>0.91443167305236273</v>
      </c>
    </row>
    <row r="356" spans="1:19" x14ac:dyDescent="0.25">
      <c r="A356" s="2" t="s">
        <v>354</v>
      </c>
      <c r="B356" s="37">
        <v>1530</v>
      </c>
      <c r="C356" s="36">
        <v>1533</v>
      </c>
      <c r="D356" s="33">
        <v>702</v>
      </c>
      <c r="E356" s="38">
        <v>324</v>
      </c>
      <c r="F356" s="39">
        <v>131</v>
      </c>
      <c r="G356">
        <v>818</v>
      </c>
      <c r="H356" s="33">
        <v>586</v>
      </c>
      <c r="I356" s="33">
        <v>610</v>
      </c>
      <c r="J356" s="5">
        <v>2684.31</v>
      </c>
      <c r="K356" s="40">
        <v>300400</v>
      </c>
      <c r="L356" s="45">
        <v>286.45</v>
      </c>
      <c r="M356" s="41">
        <v>11</v>
      </c>
      <c r="N356" s="32">
        <f>Rådatakommune[[#This Row],[B15-O]]/Rådatakommune[[#This Row],[Totalareal2015-O]]</f>
        <v>0.57109648289504567</v>
      </c>
      <c r="O356" s="34">
        <f>Rådatakommune[[#This Row],[B15-O]]/Rådatakommune[[#This Row],[B05-O]]-1</f>
        <v>1.9607843137254832E-3</v>
      </c>
      <c r="P356" s="34">
        <f>Rådatakommune[[#This Row],[Kvinner20-39-O]]/Rådatakommune[[#This Row],[B15-O]]</f>
        <v>8.5453359425962161E-2</v>
      </c>
      <c r="Q356" s="34">
        <f>Rådatakommune[[#This Row],[Eldre67+-O]]/Rådatakommune[[#This Row],[B15-O]]</f>
        <v>0.21135029354207435</v>
      </c>
      <c r="R356" s="34">
        <f>Rådatakommune[[#This Row],[S14-O]]/Rådatakommune[[#This Row],[S04-O]]-1</f>
        <v>4.0955631399317349E-2</v>
      </c>
      <c r="S356" s="34">
        <f>Rådatakommune[[#This Row],[Y14-O]]/Rådatakommune[[#This Row],[Folk20-64-O]]</f>
        <v>0.85819070904645478</v>
      </c>
    </row>
    <row r="357" spans="1:19" x14ac:dyDescent="0.25">
      <c r="A357" s="2" t="s">
        <v>355</v>
      </c>
      <c r="B357" s="37">
        <v>1528</v>
      </c>
      <c r="C357" s="36">
        <v>1407</v>
      </c>
      <c r="D357" s="33">
        <v>662</v>
      </c>
      <c r="E357" s="38">
        <v>280</v>
      </c>
      <c r="F357" s="39">
        <v>118</v>
      </c>
      <c r="G357">
        <v>753</v>
      </c>
      <c r="H357" s="33">
        <v>588</v>
      </c>
      <c r="I357" s="33">
        <v>529</v>
      </c>
      <c r="J357" s="5">
        <v>191.94</v>
      </c>
      <c r="K357" s="40">
        <v>355400</v>
      </c>
      <c r="L357" s="45">
        <v>280.4166666667</v>
      </c>
      <c r="M357" s="41">
        <v>7</v>
      </c>
      <c r="N357" s="32">
        <f>Rådatakommune[[#This Row],[B15-O]]/Rådatakommune[[#This Row],[Totalareal2015-O]]</f>
        <v>7.3304157549234139</v>
      </c>
      <c r="O357" s="34">
        <f>Rådatakommune[[#This Row],[B15-O]]/Rådatakommune[[#This Row],[B05-O]]-1</f>
        <v>-7.9188481675392719E-2</v>
      </c>
      <c r="P357" s="34">
        <f>Rådatakommune[[#This Row],[Kvinner20-39-O]]/Rådatakommune[[#This Row],[B15-O]]</f>
        <v>8.3866382373845055E-2</v>
      </c>
      <c r="Q357" s="34">
        <f>Rådatakommune[[#This Row],[Eldre67+-O]]/Rådatakommune[[#This Row],[B15-O]]</f>
        <v>0.19900497512437812</v>
      </c>
      <c r="R357" s="34">
        <f>Rådatakommune[[#This Row],[S14-O]]/Rådatakommune[[#This Row],[S04-O]]-1</f>
        <v>-0.10034013605442171</v>
      </c>
      <c r="S357" s="34">
        <f>Rådatakommune[[#This Row],[Y14-O]]/Rådatakommune[[#This Row],[Folk20-64-O]]</f>
        <v>0.87915006640106241</v>
      </c>
    </row>
    <row r="358" spans="1:19" x14ac:dyDescent="0.25">
      <c r="A358" s="2" t="s">
        <v>356</v>
      </c>
      <c r="B358" s="37">
        <v>1801</v>
      </c>
      <c r="C358" s="36">
        <v>1871</v>
      </c>
      <c r="D358" s="33">
        <v>890</v>
      </c>
      <c r="E358" s="38">
        <v>287</v>
      </c>
      <c r="F358" s="39">
        <v>217</v>
      </c>
      <c r="G358">
        <v>1078</v>
      </c>
      <c r="H358" s="33">
        <v>845</v>
      </c>
      <c r="I358" s="33">
        <v>912</v>
      </c>
      <c r="J358" s="5">
        <v>183.18</v>
      </c>
      <c r="K358" s="40">
        <v>301300</v>
      </c>
      <c r="L358" s="45">
        <v>297.95</v>
      </c>
      <c r="M358" s="41">
        <v>5</v>
      </c>
      <c r="N358" s="32">
        <f>Rådatakommune[[#This Row],[B15-O]]/Rådatakommune[[#This Row],[Totalareal2015-O]]</f>
        <v>10.213997161262146</v>
      </c>
      <c r="O358" s="34">
        <f>Rådatakommune[[#This Row],[B15-O]]/Rådatakommune[[#This Row],[B05-O]]-1</f>
        <v>3.8867295946696245E-2</v>
      </c>
      <c r="P358" s="34">
        <f>Rådatakommune[[#This Row],[Kvinner20-39-O]]/Rådatakommune[[#This Row],[B15-O]]</f>
        <v>0.11598075895243186</v>
      </c>
      <c r="Q358" s="34">
        <f>Rådatakommune[[#This Row],[Eldre67+-O]]/Rådatakommune[[#This Row],[B15-O]]</f>
        <v>0.15339390700160341</v>
      </c>
      <c r="R358" s="34">
        <f>Rådatakommune[[#This Row],[S14-O]]/Rådatakommune[[#This Row],[S04-O]]-1</f>
        <v>7.9289940828402461E-2</v>
      </c>
      <c r="S358" s="34">
        <f>Rådatakommune[[#This Row],[Y14-O]]/Rådatakommune[[#This Row],[Folk20-64-O]]</f>
        <v>0.82560296846011128</v>
      </c>
    </row>
    <row r="359" spans="1:19" x14ac:dyDescent="0.25">
      <c r="A359" s="2" t="s">
        <v>357</v>
      </c>
      <c r="B359" s="37">
        <v>4566</v>
      </c>
      <c r="C359" s="36">
        <v>4528</v>
      </c>
      <c r="D359" s="33">
        <v>2117</v>
      </c>
      <c r="E359" s="38">
        <v>886</v>
      </c>
      <c r="F359" s="39">
        <v>466</v>
      </c>
      <c r="G359">
        <v>2462</v>
      </c>
      <c r="H359" s="33">
        <v>1530</v>
      </c>
      <c r="I359" s="33">
        <v>1554</v>
      </c>
      <c r="J359" s="5">
        <v>1588.74</v>
      </c>
      <c r="K359" s="40">
        <v>339000</v>
      </c>
      <c r="L359" s="45">
        <v>275.21666666670001</v>
      </c>
      <c r="M359" s="41">
        <v>5</v>
      </c>
      <c r="N359" s="32">
        <f>Rådatakommune[[#This Row],[B15-O]]/Rådatakommune[[#This Row],[Totalareal2015-O]]</f>
        <v>2.8500572780945905</v>
      </c>
      <c r="O359" s="34">
        <f>Rådatakommune[[#This Row],[B15-O]]/Rådatakommune[[#This Row],[B05-O]]-1</f>
        <v>-8.3223828296101754E-3</v>
      </c>
      <c r="P359" s="34">
        <f>Rådatakommune[[#This Row],[Kvinner20-39-O]]/Rådatakommune[[#This Row],[B15-O]]</f>
        <v>0.10291519434628975</v>
      </c>
      <c r="Q359" s="34">
        <f>Rådatakommune[[#This Row],[Eldre67+-O]]/Rådatakommune[[#This Row],[B15-O]]</f>
        <v>0.19567137809187279</v>
      </c>
      <c r="R359" s="34">
        <f>Rådatakommune[[#This Row],[S14-O]]/Rådatakommune[[#This Row],[S04-O]]-1</f>
        <v>1.5686274509803866E-2</v>
      </c>
      <c r="S359" s="34">
        <f>Rådatakommune[[#This Row],[Y14-O]]/Rådatakommune[[#This Row],[Folk20-64-O]]</f>
        <v>0.85987002437043059</v>
      </c>
    </row>
    <row r="360" spans="1:19" x14ac:dyDescent="0.25">
      <c r="A360" s="2" t="s">
        <v>358</v>
      </c>
      <c r="B360" s="37">
        <v>25320</v>
      </c>
      <c r="C360" s="36">
        <v>26078</v>
      </c>
      <c r="D360" s="33">
        <v>13010</v>
      </c>
      <c r="E360" s="38">
        <v>4150</v>
      </c>
      <c r="F360" s="39">
        <v>2924</v>
      </c>
      <c r="G360">
        <v>15020</v>
      </c>
      <c r="H360" s="33">
        <v>11402</v>
      </c>
      <c r="I360" s="33">
        <v>13165</v>
      </c>
      <c r="J360" s="5">
        <v>4459.93</v>
      </c>
      <c r="K360" s="40">
        <v>368800</v>
      </c>
      <c r="L360" s="45">
        <v>255.1666666667</v>
      </c>
      <c r="M360" s="41">
        <v>5</v>
      </c>
      <c r="N360" s="32">
        <f>Rådatakommune[[#This Row],[B15-O]]/Rådatakommune[[#This Row],[Totalareal2015-O]]</f>
        <v>5.8471769736296304</v>
      </c>
      <c r="O360" s="34">
        <f>Rådatakommune[[#This Row],[B15-O]]/Rådatakommune[[#This Row],[B05-O]]-1</f>
        <v>2.9936808846761531E-2</v>
      </c>
      <c r="P360" s="34">
        <f>Rådatakommune[[#This Row],[Kvinner20-39-O]]/Rådatakommune[[#This Row],[B15-O]]</f>
        <v>0.1121251629726206</v>
      </c>
      <c r="Q360" s="34">
        <f>Rådatakommune[[#This Row],[Eldre67+-O]]/Rådatakommune[[#This Row],[B15-O]]</f>
        <v>0.15913797070327479</v>
      </c>
      <c r="R360" s="34">
        <f>Rådatakommune[[#This Row],[S14-O]]/Rådatakommune[[#This Row],[S04-O]]-1</f>
        <v>0.15462199614102778</v>
      </c>
      <c r="S360" s="34">
        <f>Rådatakommune[[#This Row],[Y14-O]]/Rådatakommune[[#This Row],[Folk20-64-O]]</f>
        <v>0.86617842876165119</v>
      </c>
    </row>
    <row r="361" spans="1:19" x14ac:dyDescent="0.25">
      <c r="A361" s="2" t="s">
        <v>359</v>
      </c>
      <c r="B361" s="37">
        <v>2028</v>
      </c>
      <c r="C361" s="36">
        <v>1917</v>
      </c>
      <c r="D361" s="33">
        <v>942</v>
      </c>
      <c r="E361" s="38">
        <v>384</v>
      </c>
      <c r="F361" s="39">
        <v>188</v>
      </c>
      <c r="G361">
        <v>1036</v>
      </c>
      <c r="H361" s="33">
        <v>834</v>
      </c>
      <c r="I361" s="33">
        <v>890</v>
      </c>
      <c r="J361" s="5">
        <v>265.18</v>
      </c>
      <c r="K361" s="40">
        <v>363400</v>
      </c>
      <c r="L361" s="45">
        <v>368.98333333300002</v>
      </c>
      <c r="M361" s="41">
        <v>11</v>
      </c>
      <c r="N361" s="32">
        <f>Rådatakommune[[#This Row],[B15-O]]/Rådatakommune[[#This Row],[Totalareal2015-O]]</f>
        <v>7.2290519647032205</v>
      </c>
      <c r="O361" s="34">
        <f>Rådatakommune[[#This Row],[B15-O]]/Rådatakommune[[#This Row],[B05-O]]-1</f>
        <v>-5.473372781065089E-2</v>
      </c>
      <c r="P361" s="34">
        <f>Rådatakommune[[#This Row],[Kvinner20-39-O]]/Rådatakommune[[#This Row],[B15-O]]</f>
        <v>9.80699008868023E-2</v>
      </c>
      <c r="Q361" s="34">
        <f>Rådatakommune[[#This Row],[Eldre67+-O]]/Rådatakommune[[#This Row],[B15-O]]</f>
        <v>0.20031298904538342</v>
      </c>
      <c r="R361" s="34">
        <f>Rådatakommune[[#This Row],[S14-O]]/Rådatakommune[[#This Row],[S04-O]]-1</f>
        <v>6.714628297362113E-2</v>
      </c>
      <c r="S361" s="34">
        <f>Rådatakommune[[#This Row],[Y14-O]]/Rådatakommune[[#This Row],[Folk20-64-O]]</f>
        <v>0.90926640926640923</v>
      </c>
    </row>
    <row r="362" spans="1:19" x14ac:dyDescent="0.25">
      <c r="A362" s="2" t="s">
        <v>360</v>
      </c>
      <c r="B362" s="37">
        <v>444</v>
      </c>
      <c r="C362" s="36">
        <v>486</v>
      </c>
      <c r="D362" s="33">
        <v>241</v>
      </c>
      <c r="E362" s="38">
        <v>72</v>
      </c>
      <c r="F362" s="39">
        <v>60</v>
      </c>
      <c r="G362">
        <v>278</v>
      </c>
      <c r="H362" s="33">
        <v>215</v>
      </c>
      <c r="I362" s="33">
        <v>223</v>
      </c>
      <c r="J362" s="5">
        <v>16.52</v>
      </c>
      <c r="K362" s="40">
        <v>337200</v>
      </c>
      <c r="L362" s="45">
        <v>398.9</v>
      </c>
      <c r="M362" s="41">
        <v>11</v>
      </c>
      <c r="N362" s="32">
        <f>Rådatakommune[[#This Row],[B15-O]]/Rådatakommune[[#This Row],[Totalareal2015-O]]</f>
        <v>29.418886198547217</v>
      </c>
      <c r="O362" s="34">
        <f>Rådatakommune[[#This Row],[B15-O]]/Rådatakommune[[#This Row],[B05-O]]-1</f>
        <v>9.4594594594594517E-2</v>
      </c>
      <c r="P362" s="34">
        <f>Rådatakommune[[#This Row],[Kvinner20-39-O]]/Rådatakommune[[#This Row],[B15-O]]</f>
        <v>0.12345679012345678</v>
      </c>
      <c r="Q362" s="34">
        <f>Rådatakommune[[#This Row],[Eldre67+-O]]/Rådatakommune[[#This Row],[B15-O]]</f>
        <v>0.14814814814814814</v>
      </c>
      <c r="R362" s="34">
        <f>Rådatakommune[[#This Row],[S14-O]]/Rådatakommune[[#This Row],[S04-O]]-1</f>
        <v>3.7209302325581506E-2</v>
      </c>
      <c r="S362" s="34">
        <f>Rådatakommune[[#This Row],[Y14-O]]/Rådatakommune[[#This Row],[Folk20-64-O]]</f>
        <v>0.86690647482014394</v>
      </c>
    </row>
    <row r="363" spans="1:19" x14ac:dyDescent="0.25">
      <c r="A363" s="2" t="s">
        <v>361</v>
      </c>
      <c r="B363" s="37">
        <v>1443</v>
      </c>
      <c r="C363" s="36">
        <v>1269</v>
      </c>
      <c r="D363" s="33">
        <v>620</v>
      </c>
      <c r="E363" s="38">
        <v>226</v>
      </c>
      <c r="F363" s="39">
        <v>121</v>
      </c>
      <c r="G363">
        <v>661</v>
      </c>
      <c r="H363" s="33">
        <v>587</v>
      </c>
      <c r="I363" s="33">
        <v>533</v>
      </c>
      <c r="J363" s="5">
        <v>711.29</v>
      </c>
      <c r="K363" s="40">
        <v>341000</v>
      </c>
      <c r="L363" s="45">
        <v>346.51666666699998</v>
      </c>
      <c r="M363" s="41">
        <v>11</v>
      </c>
      <c r="N363" s="32">
        <f>Rådatakommune[[#This Row],[B15-O]]/Rådatakommune[[#This Row],[Totalareal2015-O]]</f>
        <v>1.7840824417607446</v>
      </c>
      <c r="O363" s="34">
        <f>Rådatakommune[[#This Row],[B15-O]]/Rådatakommune[[#This Row],[B05-O]]-1</f>
        <v>-0.12058212058212059</v>
      </c>
      <c r="P363" s="34">
        <f>Rådatakommune[[#This Row],[Kvinner20-39-O]]/Rådatakommune[[#This Row],[B15-O]]</f>
        <v>9.5350669818754924E-2</v>
      </c>
      <c r="Q363" s="34">
        <f>Rådatakommune[[#This Row],[Eldre67+-O]]/Rådatakommune[[#This Row],[B15-O]]</f>
        <v>0.17809298660362491</v>
      </c>
      <c r="R363" s="34">
        <f>Rådatakommune[[#This Row],[S14-O]]/Rådatakommune[[#This Row],[S04-O]]-1</f>
        <v>-9.1993185689948853E-2</v>
      </c>
      <c r="S363" s="34">
        <f>Rådatakommune[[#This Row],[Y14-O]]/Rådatakommune[[#This Row],[Folk20-64-O]]</f>
        <v>0.93797276853252642</v>
      </c>
    </row>
    <row r="364" spans="1:19" x14ac:dyDescent="0.25">
      <c r="A364" s="2" t="s">
        <v>362</v>
      </c>
      <c r="B364" s="37">
        <v>6759</v>
      </c>
      <c r="C364" s="36">
        <v>6454</v>
      </c>
      <c r="D364" s="33">
        <v>3088</v>
      </c>
      <c r="E364" s="38">
        <v>1137</v>
      </c>
      <c r="F364" s="39">
        <v>663</v>
      </c>
      <c r="G364">
        <v>3566</v>
      </c>
      <c r="H364" s="33">
        <v>2905</v>
      </c>
      <c r="I364" s="33">
        <v>2937</v>
      </c>
      <c r="J364" s="5">
        <v>873.83</v>
      </c>
      <c r="K364" s="40">
        <v>374600</v>
      </c>
      <c r="L364" s="45">
        <v>280.81666666670003</v>
      </c>
      <c r="M364" s="41">
        <v>10</v>
      </c>
      <c r="N364" s="32">
        <f>Rådatakommune[[#This Row],[B15-O]]/Rådatakommune[[#This Row],[Totalareal2015-O]]</f>
        <v>7.3858759712987645</v>
      </c>
      <c r="O364" s="34">
        <f>Rådatakommune[[#This Row],[B15-O]]/Rådatakommune[[#This Row],[B05-O]]-1</f>
        <v>-4.5125018493860081E-2</v>
      </c>
      <c r="P364" s="34">
        <f>Rådatakommune[[#This Row],[Kvinner20-39-O]]/Rådatakommune[[#This Row],[B15-O]]</f>
        <v>0.10272699101332507</v>
      </c>
      <c r="Q364" s="34">
        <f>Rådatakommune[[#This Row],[Eldre67+-O]]/Rådatakommune[[#This Row],[B15-O]]</f>
        <v>0.17616981716764796</v>
      </c>
      <c r="R364" s="34">
        <f>Rådatakommune[[#This Row],[S14-O]]/Rådatakommune[[#This Row],[S04-O]]-1</f>
        <v>1.1015490533562877E-2</v>
      </c>
      <c r="S364" s="34">
        <f>Rådatakommune[[#This Row],[Y14-O]]/Rådatakommune[[#This Row],[Folk20-64-O]]</f>
        <v>0.86595625350532812</v>
      </c>
    </row>
    <row r="365" spans="1:19" x14ac:dyDescent="0.25">
      <c r="A365" s="2" t="s">
        <v>363</v>
      </c>
      <c r="B365" s="37">
        <v>2178</v>
      </c>
      <c r="C365" s="36">
        <v>2014</v>
      </c>
      <c r="D365" s="33">
        <v>940</v>
      </c>
      <c r="E365" s="38">
        <v>430</v>
      </c>
      <c r="F365" s="39">
        <v>189</v>
      </c>
      <c r="G365">
        <v>1084</v>
      </c>
      <c r="H365" s="33">
        <v>773</v>
      </c>
      <c r="I365" s="33">
        <v>799</v>
      </c>
      <c r="J365" s="5">
        <v>664.67</v>
      </c>
      <c r="K365" s="40">
        <v>366800</v>
      </c>
      <c r="L365" s="45">
        <v>258.45</v>
      </c>
      <c r="M365" s="41">
        <v>8</v>
      </c>
      <c r="N365" s="32">
        <f>Rådatakommune[[#This Row],[B15-O]]/Rådatakommune[[#This Row],[Totalareal2015-O]]</f>
        <v>3.0300750748491736</v>
      </c>
      <c r="O365" s="34">
        <f>Rådatakommune[[#This Row],[B15-O]]/Rådatakommune[[#This Row],[B05-O]]-1</f>
        <v>-7.5298438934802592E-2</v>
      </c>
      <c r="P365" s="34">
        <f>Rådatakommune[[#This Row],[Kvinner20-39-O]]/Rådatakommune[[#This Row],[B15-O]]</f>
        <v>9.384309831181728E-2</v>
      </c>
      <c r="Q365" s="34">
        <f>Rådatakommune[[#This Row],[Eldre67+-O]]/Rådatakommune[[#This Row],[B15-O]]</f>
        <v>0.21350546176762661</v>
      </c>
      <c r="R365" s="34">
        <f>Rådatakommune[[#This Row],[S14-O]]/Rådatakommune[[#This Row],[S04-O]]-1</f>
        <v>3.363518758085382E-2</v>
      </c>
      <c r="S365" s="34">
        <f>Rådatakommune[[#This Row],[Y14-O]]/Rådatakommune[[#This Row],[Folk20-64-O]]</f>
        <v>0.86715867158671589</v>
      </c>
    </row>
    <row r="366" spans="1:19" x14ac:dyDescent="0.25">
      <c r="A366" s="2" t="s">
        <v>364</v>
      </c>
      <c r="B366" s="37">
        <v>1165</v>
      </c>
      <c r="C366" s="36">
        <v>1058</v>
      </c>
      <c r="D366" s="33">
        <v>512</v>
      </c>
      <c r="E366" s="38">
        <v>257</v>
      </c>
      <c r="F366" s="39">
        <v>90</v>
      </c>
      <c r="G366">
        <v>570</v>
      </c>
      <c r="H366" s="33">
        <v>416</v>
      </c>
      <c r="I366" s="33">
        <v>459</v>
      </c>
      <c r="J366" s="5">
        <v>1221.76</v>
      </c>
      <c r="K366" s="40">
        <v>340600</v>
      </c>
      <c r="L366" s="45">
        <v>272.98333333329998</v>
      </c>
      <c r="M366" s="41">
        <v>11</v>
      </c>
      <c r="N366" s="32">
        <f>Rådatakommune[[#This Row],[B15-O]]/Rådatakommune[[#This Row],[Totalareal2015-O]]</f>
        <v>0.86596385542168675</v>
      </c>
      <c r="O366" s="34">
        <f>Rådatakommune[[#This Row],[B15-O]]/Rådatakommune[[#This Row],[B05-O]]-1</f>
        <v>-9.1845493562231706E-2</v>
      </c>
      <c r="P366" s="34">
        <f>Rådatakommune[[#This Row],[Kvinner20-39-O]]/Rådatakommune[[#This Row],[B15-O]]</f>
        <v>8.5066162570888462E-2</v>
      </c>
      <c r="Q366" s="34">
        <f>Rådatakommune[[#This Row],[Eldre67+-O]]/Rådatakommune[[#This Row],[B15-O]]</f>
        <v>0.24291115311909262</v>
      </c>
      <c r="R366" s="34">
        <f>Rådatakommune[[#This Row],[S14-O]]/Rådatakommune[[#This Row],[S04-O]]-1</f>
        <v>0.10336538461538458</v>
      </c>
      <c r="S366" s="34">
        <f>Rådatakommune[[#This Row],[Y14-O]]/Rådatakommune[[#This Row],[Folk20-64-O]]</f>
        <v>0.89824561403508774</v>
      </c>
    </row>
    <row r="367" spans="1:19" x14ac:dyDescent="0.25">
      <c r="A367" s="2" t="s">
        <v>365</v>
      </c>
      <c r="B367" s="37">
        <v>4800</v>
      </c>
      <c r="C367" s="36">
        <v>4734</v>
      </c>
      <c r="D367" s="33">
        <v>2309</v>
      </c>
      <c r="E367" s="38">
        <v>853</v>
      </c>
      <c r="F367" s="39">
        <v>501</v>
      </c>
      <c r="G367">
        <v>2701</v>
      </c>
      <c r="H367" s="33">
        <v>1981</v>
      </c>
      <c r="I367" s="33">
        <v>2081</v>
      </c>
      <c r="J367" s="5">
        <v>2216.17</v>
      </c>
      <c r="K367" s="40">
        <v>336400</v>
      </c>
      <c r="L367" s="45">
        <v>256.85000000000002</v>
      </c>
      <c r="M367" s="41">
        <v>6</v>
      </c>
      <c r="N367" s="32">
        <f>Rådatakommune[[#This Row],[B15-O]]/Rådatakommune[[#This Row],[Totalareal2015-O]]</f>
        <v>2.1361177166011633</v>
      </c>
      <c r="O367" s="34">
        <f>Rådatakommune[[#This Row],[B15-O]]/Rådatakommune[[#This Row],[B05-O]]-1</f>
        <v>-1.375000000000004E-2</v>
      </c>
      <c r="P367" s="34">
        <f>Rådatakommune[[#This Row],[Kvinner20-39-O]]/Rådatakommune[[#This Row],[B15-O]]</f>
        <v>0.10583016476552598</v>
      </c>
      <c r="Q367" s="34">
        <f>Rådatakommune[[#This Row],[Eldre67+-O]]/Rådatakommune[[#This Row],[B15-O]]</f>
        <v>0.18018588931136459</v>
      </c>
      <c r="R367" s="34">
        <f>Rådatakommune[[#This Row],[S14-O]]/Rådatakommune[[#This Row],[S04-O]]-1</f>
        <v>5.0479555779909147E-2</v>
      </c>
      <c r="S367" s="34">
        <f>Rådatakommune[[#This Row],[Y14-O]]/Rådatakommune[[#This Row],[Folk20-64-O]]</f>
        <v>0.85486856719733428</v>
      </c>
    </row>
    <row r="368" spans="1:19" x14ac:dyDescent="0.25">
      <c r="A368" s="2" t="s">
        <v>366</v>
      </c>
      <c r="B368" s="37">
        <v>9549</v>
      </c>
      <c r="C368" s="36">
        <v>9622</v>
      </c>
      <c r="D368" s="33">
        <v>4766</v>
      </c>
      <c r="E368" s="38">
        <v>1698</v>
      </c>
      <c r="F368" s="39">
        <v>1010</v>
      </c>
      <c r="G368">
        <v>5447</v>
      </c>
      <c r="H368" s="33">
        <v>3500</v>
      </c>
      <c r="I368" s="33">
        <v>3978</v>
      </c>
      <c r="J368" s="5">
        <v>1209.58</v>
      </c>
      <c r="K368" s="40">
        <v>366800</v>
      </c>
      <c r="L368" s="45">
        <v>231.1666666667</v>
      </c>
      <c r="M368" s="41">
        <v>5</v>
      </c>
      <c r="N368" s="32">
        <f>Rådatakommune[[#This Row],[B15-O]]/Rådatakommune[[#This Row],[Totalareal2015-O]]</f>
        <v>7.9548272954248587</v>
      </c>
      <c r="O368" s="34">
        <f>Rådatakommune[[#This Row],[B15-O]]/Rådatakommune[[#This Row],[B05-O]]-1</f>
        <v>7.6447795580689704E-3</v>
      </c>
      <c r="P368" s="34">
        <f>Rådatakommune[[#This Row],[Kvinner20-39-O]]/Rådatakommune[[#This Row],[B15-O]]</f>
        <v>0.10496778216586988</v>
      </c>
      <c r="Q368" s="34">
        <f>Rådatakommune[[#This Row],[Eldre67+-O]]/Rådatakommune[[#This Row],[B15-O]]</f>
        <v>0.17647058823529413</v>
      </c>
      <c r="R368" s="34">
        <f>Rådatakommune[[#This Row],[S14-O]]/Rådatakommune[[#This Row],[S04-O]]-1</f>
        <v>0.13657142857142857</v>
      </c>
      <c r="S368" s="34">
        <f>Rådatakommune[[#This Row],[Y14-O]]/Rådatakommune[[#This Row],[Folk20-64-O]]</f>
        <v>0.87497705158803007</v>
      </c>
    </row>
    <row r="369" spans="1:19" x14ac:dyDescent="0.25">
      <c r="A369" s="2" t="s">
        <v>367</v>
      </c>
      <c r="B369" s="37">
        <v>2153</v>
      </c>
      <c r="C369" s="36">
        <v>1953</v>
      </c>
      <c r="D369" s="33">
        <v>881</v>
      </c>
      <c r="E369" s="38">
        <v>416</v>
      </c>
      <c r="F369" s="39">
        <v>179</v>
      </c>
      <c r="G369">
        <v>1045</v>
      </c>
      <c r="H369" s="33">
        <v>823</v>
      </c>
      <c r="I369" s="33">
        <v>833</v>
      </c>
      <c r="J369" s="5">
        <v>1637.78</v>
      </c>
      <c r="K369" s="40">
        <v>345900</v>
      </c>
      <c r="L369" s="45">
        <v>244.36666666669998</v>
      </c>
      <c r="M369" s="41">
        <v>6</v>
      </c>
      <c r="N369" s="32">
        <f>Rådatakommune[[#This Row],[B15-O]]/Rådatakommune[[#This Row],[Totalareal2015-O]]</f>
        <v>1.1924678528251658</v>
      </c>
      <c r="O369" s="34">
        <f>Rådatakommune[[#This Row],[B15-O]]/Rådatakommune[[#This Row],[B05-O]]-1</f>
        <v>-9.289363678588014E-2</v>
      </c>
      <c r="P369" s="34">
        <f>Rådatakommune[[#This Row],[Kvinner20-39-O]]/Rådatakommune[[#This Row],[B15-O]]</f>
        <v>9.1653865847414237E-2</v>
      </c>
      <c r="Q369" s="34">
        <f>Rådatakommune[[#This Row],[Eldre67+-O]]/Rådatakommune[[#This Row],[B15-O]]</f>
        <v>0.21300563236047107</v>
      </c>
      <c r="R369" s="34">
        <f>Rådatakommune[[#This Row],[S14-O]]/Rådatakommune[[#This Row],[S04-O]]-1</f>
        <v>1.2150668286755817E-2</v>
      </c>
      <c r="S369" s="34">
        <f>Rådatakommune[[#This Row],[Y14-O]]/Rådatakommune[[#This Row],[Folk20-64-O]]</f>
        <v>0.84306220095693785</v>
      </c>
    </row>
    <row r="370" spans="1:19" x14ac:dyDescent="0.25">
      <c r="A370" s="2" t="s">
        <v>368</v>
      </c>
      <c r="B370" s="37">
        <v>2802</v>
      </c>
      <c r="C370" s="36">
        <v>2507</v>
      </c>
      <c r="D370" s="33">
        <v>1177</v>
      </c>
      <c r="E370" s="38">
        <v>537</v>
      </c>
      <c r="F370" s="39">
        <v>221</v>
      </c>
      <c r="G370">
        <v>1376</v>
      </c>
      <c r="H370" s="33">
        <v>1047</v>
      </c>
      <c r="I370" s="33">
        <v>1071</v>
      </c>
      <c r="J370" s="5">
        <v>1009.08</v>
      </c>
      <c r="K370" s="40">
        <v>346200</v>
      </c>
      <c r="L370" s="45">
        <v>350.7</v>
      </c>
      <c r="M370" s="41">
        <v>11</v>
      </c>
      <c r="N370" s="32">
        <f>Rådatakommune[[#This Row],[B15-O]]/Rådatakommune[[#This Row],[Totalareal2015-O]]</f>
        <v>2.48444127323899</v>
      </c>
      <c r="O370" s="34">
        <f>Rådatakommune[[#This Row],[B15-O]]/Rådatakommune[[#This Row],[B05-O]]-1</f>
        <v>-0.10528194147037828</v>
      </c>
      <c r="P370" s="34">
        <f>Rådatakommune[[#This Row],[Kvinner20-39-O]]/Rådatakommune[[#This Row],[B15-O]]</f>
        <v>8.8153171120861587E-2</v>
      </c>
      <c r="Q370" s="34">
        <f>Rådatakommune[[#This Row],[Eldre67+-O]]/Rådatakommune[[#This Row],[B15-O]]</f>
        <v>0.21420023932987634</v>
      </c>
      <c r="R370" s="34">
        <f>Rådatakommune[[#This Row],[S14-O]]/Rådatakommune[[#This Row],[S04-O]]-1</f>
        <v>2.2922636103151817E-2</v>
      </c>
      <c r="S370" s="34">
        <f>Rådatakommune[[#This Row],[Y14-O]]/Rådatakommune[[#This Row],[Folk20-64-O]]</f>
        <v>0.85537790697674421</v>
      </c>
    </row>
    <row r="371" spans="1:19" x14ac:dyDescent="0.25">
      <c r="A371" s="2" t="s">
        <v>369</v>
      </c>
      <c r="B371" s="37">
        <v>1836</v>
      </c>
      <c r="C371" s="36">
        <v>1811</v>
      </c>
      <c r="D371" s="33">
        <v>887</v>
      </c>
      <c r="E371" s="38">
        <v>371</v>
      </c>
      <c r="F371" s="39">
        <v>181</v>
      </c>
      <c r="G371">
        <v>996</v>
      </c>
      <c r="H371" s="33">
        <v>741</v>
      </c>
      <c r="I371" s="33">
        <v>852</v>
      </c>
      <c r="J371" s="5">
        <v>1033.56</v>
      </c>
      <c r="K371" s="40">
        <v>343100</v>
      </c>
      <c r="L371" s="45">
        <v>352.71666666700003</v>
      </c>
      <c r="M371" s="41">
        <v>11</v>
      </c>
      <c r="N371" s="32">
        <f>Rådatakommune[[#This Row],[B15-O]]/Rådatakommune[[#This Row],[Totalareal2015-O]]</f>
        <v>1.7521962924261776</v>
      </c>
      <c r="O371" s="34">
        <f>Rådatakommune[[#This Row],[B15-O]]/Rådatakommune[[#This Row],[B05-O]]-1</f>
        <v>-1.3616557734204782E-2</v>
      </c>
      <c r="P371" s="34">
        <f>Rådatakommune[[#This Row],[Kvinner20-39-O]]/Rådatakommune[[#This Row],[B15-O]]</f>
        <v>9.9944781888459414E-2</v>
      </c>
      <c r="Q371" s="34">
        <f>Rådatakommune[[#This Row],[Eldre67+-O]]/Rådatakommune[[#This Row],[B15-O]]</f>
        <v>0.20485919381557149</v>
      </c>
      <c r="R371" s="34">
        <f>Rådatakommune[[#This Row],[S14-O]]/Rådatakommune[[#This Row],[S04-O]]-1</f>
        <v>0.1497975708502024</v>
      </c>
      <c r="S371" s="34">
        <f>Rådatakommune[[#This Row],[Y14-O]]/Rådatakommune[[#This Row],[Folk20-64-O]]</f>
        <v>0.89056224899598391</v>
      </c>
    </row>
    <row r="372" spans="1:19" x14ac:dyDescent="0.25">
      <c r="A372" s="2" t="s">
        <v>370</v>
      </c>
      <c r="B372" s="37">
        <v>2150</v>
      </c>
      <c r="C372" s="36">
        <v>1996</v>
      </c>
      <c r="D372" s="33">
        <v>910</v>
      </c>
      <c r="E372" s="38">
        <v>405</v>
      </c>
      <c r="F372" s="39">
        <v>190</v>
      </c>
      <c r="G372">
        <v>1114</v>
      </c>
      <c r="H372" s="33">
        <v>805</v>
      </c>
      <c r="I372" s="33">
        <v>849</v>
      </c>
      <c r="J372" s="5">
        <v>1463.71</v>
      </c>
      <c r="K372" s="40">
        <v>331200</v>
      </c>
      <c r="L372" s="45">
        <v>328.48333333329998</v>
      </c>
      <c r="M372" s="41">
        <v>11</v>
      </c>
      <c r="N372" s="32">
        <f>Rådatakommune[[#This Row],[B15-O]]/Rådatakommune[[#This Row],[Totalareal2015-O]]</f>
        <v>1.3636581016731455</v>
      </c>
      <c r="O372" s="34">
        <f>Rådatakommune[[#This Row],[B15-O]]/Rådatakommune[[#This Row],[B05-O]]-1</f>
        <v>-7.1627906976744149E-2</v>
      </c>
      <c r="P372" s="34">
        <f>Rådatakommune[[#This Row],[Kvinner20-39-O]]/Rådatakommune[[#This Row],[B15-O]]</f>
        <v>9.5190380761523044E-2</v>
      </c>
      <c r="Q372" s="34">
        <f>Rådatakommune[[#This Row],[Eldre67+-O]]/Rådatakommune[[#This Row],[B15-O]]</f>
        <v>0.2029058116232465</v>
      </c>
      <c r="R372" s="34">
        <f>Rådatakommune[[#This Row],[S14-O]]/Rådatakommune[[#This Row],[S04-O]]-1</f>
        <v>5.4658385093167672E-2</v>
      </c>
      <c r="S372" s="34">
        <f>Rådatakommune[[#This Row],[Y14-O]]/Rådatakommune[[#This Row],[Folk20-64-O]]</f>
        <v>0.81687612208258531</v>
      </c>
    </row>
    <row r="373" spans="1:19" x14ac:dyDescent="0.25">
      <c r="A373" s="2" t="s">
        <v>371</v>
      </c>
      <c r="B373" s="37">
        <v>2349</v>
      </c>
      <c r="C373" s="36">
        <v>2160</v>
      </c>
      <c r="D373" s="33">
        <v>992</v>
      </c>
      <c r="E373" s="38">
        <v>485</v>
      </c>
      <c r="F373" s="39">
        <v>177</v>
      </c>
      <c r="G373">
        <v>1178</v>
      </c>
      <c r="H373" s="33">
        <v>957</v>
      </c>
      <c r="I373" s="33">
        <v>935</v>
      </c>
      <c r="J373" s="5">
        <v>527.49</v>
      </c>
      <c r="K373" s="40">
        <v>331100</v>
      </c>
      <c r="L373" s="45">
        <v>257.01666666669996</v>
      </c>
      <c r="M373" s="41">
        <v>11</v>
      </c>
      <c r="N373" s="32">
        <f>Rådatakommune[[#This Row],[B15-O]]/Rådatakommune[[#This Row],[Totalareal2015-O]]</f>
        <v>4.094864357618154</v>
      </c>
      <c r="O373" s="34">
        <f>Rådatakommune[[#This Row],[B15-O]]/Rådatakommune[[#This Row],[B05-O]]-1</f>
        <v>-8.0459770114942541E-2</v>
      </c>
      <c r="P373" s="34">
        <f>Rådatakommune[[#This Row],[Kvinner20-39-O]]/Rådatakommune[[#This Row],[B15-O]]</f>
        <v>8.1944444444444445E-2</v>
      </c>
      <c r="Q373" s="34">
        <f>Rådatakommune[[#This Row],[Eldre67+-O]]/Rådatakommune[[#This Row],[B15-O]]</f>
        <v>0.22453703703703703</v>
      </c>
      <c r="R373" s="34">
        <f>Rådatakommune[[#This Row],[S14-O]]/Rådatakommune[[#This Row],[S04-O]]-1</f>
        <v>-2.2988505747126409E-2</v>
      </c>
      <c r="S373" s="34">
        <f>Rådatakommune[[#This Row],[Y14-O]]/Rådatakommune[[#This Row],[Folk20-64-O]]</f>
        <v>0.84210526315789469</v>
      </c>
    </row>
    <row r="374" spans="1:19" x14ac:dyDescent="0.25">
      <c r="A374" s="2" t="s">
        <v>372</v>
      </c>
      <c r="B374" s="37">
        <v>1421</v>
      </c>
      <c r="C374" s="36">
        <v>1280</v>
      </c>
      <c r="D374" s="33">
        <v>585</v>
      </c>
      <c r="E374" s="38">
        <v>306</v>
      </c>
      <c r="F374" s="39">
        <v>109</v>
      </c>
      <c r="G374">
        <v>667</v>
      </c>
      <c r="H374" s="33">
        <v>498</v>
      </c>
      <c r="I374" s="33">
        <v>515</v>
      </c>
      <c r="J374" s="5">
        <v>319.26000000000005</v>
      </c>
      <c r="K374" s="40">
        <v>343200</v>
      </c>
      <c r="L374" s="45">
        <v>223.5833333333</v>
      </c>
      <c r="M374" s="41">
        <v>5</v>
      </c>
      <c r="N374" s="32">
        <f>Rådatakommune[[#This Row],[B15-O]]/Rådatakommune[[#This Row],[Totalareal2015-O]]</f>
        <v>4.0092714402054748</v>
      </c>
      <c r="O374" s="34">
        <f>Rådatakommune[[#This Row],[B15-O]]/Rådatakommune[[#This Row],[B05-O]]-1</f>
        <v>-9.9225897255453943E-2</v>
      </c>
      <c r="P374" s="34">
        <f>Rådatakommune[[#This Row],[Kvinner20-39-O]]/Rådatakommune[[#This Row],[B15-O]]</f>
        <v>8.5156250000000003E-2</v>
      </c>
      <c r="Q374" s="34">
        <f>Rådatakommune[[#This Row],[Eldre67+-O]]/Rådatakommune[[#This Row],[B15-O]]</f>
        <v>0.23906250000000001</v>
      </c>
      <c r="R374" s="34">
        <f>Rådatakommune[[#This Row],[S14-O]]/Rådatakommune[[#This Row],[S04-O]]-1</f>
        <v>3.4136546184738936E-2</v>
      </c>
      <c r="S374" s="34">
        <f>Rådatakommune[[#This Row],[Y14-O]]/Rådatakommune[[#This Row],[Folk20-64-O]]</f>
        <v>0.87706146926536732</v>
      </c>
    </row>
    <row r="375" spans="1:19" x14ac:dyDescent="0.25">
      <c r="A375" s="2" t="s">
        <v>373</v>
      </c>
      <c r="B375" s="37">
        <v>1417</v>
      </c>
      <c r="C375" s="36">
        <v>1385</v>
      </c>
      <c r="D375" s="33">
        <v>606</v>
      </c>
      <c r="E375" s="38">
        <v>298</v>
      </c>
      <c r="F375" s="39">
        <v>127</v>
      </c>
      <c r="G375">
        <v>727</v>
      </c>
      <c r="H375" s="33">
        <v>641</v>
      </c>
      <c r="I375" s="33">
        <v>645</v>
      </c>
      <c r="J375" s="5">
        <v>252.78</v>
      </c>
      <c r="K375" s="40">
        <v>336700</v>
      </c>
      <c r="L375" s="45">
        <v>210.9</v>
      </c>
      <c r="M375" s="41">
        <v>5</v>
      </c>
      <c r="N375" s="32">
        <f>Rådatakommune[[#This Row],[B15-O]]/Rådatakommune[[#This Row],[Totalareal2015-O]]</f>
        <v>5.4790727114486906</v>
      </c>
      <c r="O375" s="34">
        <f>Rådatakommune[[#This Row],[B15-O]]/Rådatakommune[[#This Row],[B05-O]]-1</f>
        <v>-2.2582921665490474E-2</v>
      </c>
      <c r="P375" s="34">
        <f>Rådatakommune[[#This Row],[Kvinner20-39-O]]/Rådatakommune[[#This Row],[B15-O]]</f>
        <v>9.1696750902527074E-2</v>
      </c>
      <c r="Q375" s="34">
        <f>Rådatakommune[[#This Row],[Eldre67+-O]]/Rådatakommune[[#This Row],[B15-O]]</f>
        <v>0.21516245487364621</v>
      </c>
      <c r="R375" s="34">
        <f>Rådatakommune[[#This Row],[S14-O]]/Rådatakommune[[#This Row],[S04-O]]-1</f>
        <v>6.2402496099844829E-3</v>
      </c>
      <c r="S375" s="34">
        <f>Rådatakommune[[#This Row],[Y14-O]]/Rådatakommune[[#This Row],[Folk20-64-O]]</f>
        <v>0.83356258596973865</v>
      </c>
    </row>
    <row r="376" spans="1:19" x14ac:dyDescent="0.25">
      <c r="A376" s="2" t="s">
        <v>374</v>
      </c>
      <c r="B376" s="37">
        <v>2736</v>
      </c>
      <c r="C376" s="36">
        <v>2581</v>
      </c>
      <c r="D376" s="33">
        <v>1073</v>
      </c>
      <c r="E376" s="38">
        <v>518</v>
      </c>
      <c r="F376" s="39">
        <v>249</v>
      </c>
      <c r="G376">
        <v>1415</v>
      </c>
      <c r="H376" s="33">
        <v>852</v>
      </c>
      <c r="I376" s="33">
        <v>709</v>
      </c>
      <c r="J376" s="5">
        <v>932.2</v>
      </c>
      <c r="K376" s="40">
        <v>330700</v>
      </c>
      <c r="L376" s="45">
        <v>286.18333333329997</v>
      </c>
      <c r="M376" s="41">
        <v>5</v>
      </c>
      <c r="N376" s="32">
        <f>Rådatakommune[[#This Row],[B15-O]]/Rådatakommune[[#This Row],[Totalareal2015-O]]</f>
        <v>2.7687191589787599</v>
      </c>
      <c r="O376" s="34">
        <f>Rådatakommune[[#This Row],[B15-O]]/Rådatakommune[[#This Row],[B05-O]]-1</f>
        <v>-5.6652046783625676E-2</v>
      </c>
      <c r="P376" s="34">
        <f>Rådatakommune[[#This Row],[Kvinner20-39-O]]/Rådatakommune[[#This Row],[B15-O]]</f>
        <v>9.6474234792715996E-2</v>
      </c>
      <c r="Q376" s="34">
        <f>Rådatakommune[[#This Row],[Eldre67+-O]]/Rådatakommune[[#This Row],[B15-O]]</f>
        <v>0.20069740410693529</v>
      </c>
      <c r="R376" s="34">
        <f>Rådatakommune[[#This Row],[S14-O]]/Rådatakommune[[#This Row],[S04-O]]-1</f>
        <v>-0.1678403755868545</v>
      </c>
      <c r="S376" s="34">
        <f>Rådatakommune[[#This Row],[Y14-O]]/Rådatakommune[[#This Row],[Folk20-64-O]]</f>
        <v>0.75830388692579509</v>
      </c>
    </row>
    <row r="377" spans="1:19" x14ac:dyDescent="0.25">
      <c r="A377" s="2" t="s">
        <v>375</v>
      </c>
      <c r="B377" s="37">
        <v>602</v>
      </c>
      <c r="C377" s="36">
        <v>545</v>
      </c>
      <c r="D377" s="33">
        <v>281</v>
      </c>
      <c r="E377" s="38">
        <v>96</v>
      </c>
      <c r="F377" s="39">
        <v>53</v>
      </c>
      <c r="G377">
        <v>321</v>
      </c>
      <c r="H377" s="33">
        <v>305</v>
      </c>
      <c r="I377" s="33">
        <v>260</v>
      </c>
      <c r="J377" s="5">
        <v>10.130000000000001</v>
      </c>
      <c r="K377" s="40">
        <v>354400</v>
      </c>
      <c r="L377" s="45">
        <v>237.53333333333001</v>
      </c>
      <c r="M377" s="41">
        <v>11</v>
      </c>
      <c r="N377" s="32">
        <f>Rådatakommune[[#This Row],[B15-O]]/Rådatakommune[[#This Row],[Totalareal2015-O]]</f>
        <v>53.800592300098714</v>
      </c>
      <c r="O377" s="34">
        <f>Rådatakommune[[#This Row],[B15-O]]/Rådatakommune[[#This Row],[B05-O]]-1</f>
        <v>-9.468438538205981E-2</v>
      </c>
      <c r="P377" s="34">
        <f>Rådatakommune[[#This Row],[Kvinner20-39-O]]/Rådatakommune[[#This Row],[B15-O]]</f>
        <v>9.7247706422018354E-2</v>
      </c>
      <c r="Q377" s="34">
        <f>Rådatakommune[[#This Row],[Eldre67+-O]]/Rådatakommune[[#This Row],[B15-O]]</f>
        <v>0.1761467889908257</v>
      </c>
      <c r="R377" s="34">
        <f>Rådatakommune[[#This Row],[S14-O]]/Rådatakommune[[#This Row],[S04-O]]-1</f>
        <v>-0.14754098360655743</v>
      </c>
      <c r="S377" s="34">
        <f>Rådatakommune[[#This Row],[Y14-O]]/Rådatakommune[[#This Row],[Folk20-64-O]]</f>
        <v>0.87538940809968846</v>
      </c>
    </row>
    <row r="378" spans="1:19" x14ac:dyDescent="0.25">
      <c r="A378" s="2" t="s">
        <v>376</v>
      </c>
      <c r="B378" s="37">
        <v>743</v>
      </c>
      <c r="C378" s="36">
        <v>780</v>
      </c>
      <c r="D378" s="33">
        <v>401</v>
      </c>
      <c r="E378" s="38">
        <v>130</v>
      </c>
      <c r="F378" s="39">
        <v>86</v>
      </c>
      <c r="G378">
        <v>436</v>
      </c>
      <c r="H378" s="33">
        <v>361</v>
      </c>
      <c r="I378" s="33">
        <v>397</v>
      </c>
      <c r="J378" s="5">
        <v>18.64</v>
      </c>
      <c r="K378" s="40">
        <v>355300</v>
      </c>
      <c r="L378" s="45">
        <v>240.61666666667</v>
      </c>
      <c r="M378" s="41">
        <v>11</v>
      </c>
      <c r="N378" s="32">
        <f>Rådatakommune[[#This Row],[B15-O]]/Rådatakommune[[#This Row],[Totalareal2015-O]]</f>
        <v>41.845493562231759</v>
      </c>
      <c r="O378" s="34">
        <f>Rådatakommune[[#This Row],[B15-O]]/Rådatakommune[[#This Row],[B05-O]]-1</f>
        <v>4.9798115746971794E-2</v>
      </c>
      <c r="P378" s="34">
        <f>Rådatakommune[[#This Row],[Kvinner20-39-O]]/Rådatakommune[[#This Row],[B15-O]]</f>
        <v>0.11025641025641025</v>
      </c>
      <c r="Q378" s="34">
        <f>Rådatakommune[[#This Row],[Eldre67+-O]]/Rådatakommune[[#This Row],[B15-O]]</f>
        <v>0.16666666666666666</v>
      </c>
      <c r="R378" s="34">
        <f>Rådatakommune[[#This Row],[S14-O]]/Rådatakommune[[#This Row],[S04-O]]-1</f>
        <v>9.9722991689750629E-2</v>
      </c>
      <c r="S378" s="34">
        <f>Rådatakommune[[#This Row],[Y14-O]]/Rådatakommune[[#This Row],[Folk20-64-O]]</f>
        <v>0.91972477064220182</v>
      </c>
    </row>
    <row r="379" spans="1:19" x14ac:dyDescent="0.25">
      <c r="A379" s="2" t="s">
        <v>377</v>
      </c>
      <c r="B379" s="37">
        <v>1470</v>
      </c>
      <c r="C379" s="36">
        <v>1358</v>
      </c>
      <c r="D379" s="33">
        <v>631</v>
      </c>
      <c r="E379" s="38">
        <v>285</v>
      </c>
      <c r="F379" s="39">
        <v>130</v>
      </c>
      <c r="G379">
        <v>724</v>
      </c>
      <c r="H379" s="33">
        <v>589</v>
      </c>
      <c r="I379" s="33">
        <v>574</v>
      </c>
      <c r="J379" s="5">
        <v>178.38</v>
      </c>
      <c r="K379" s="40">
        <v>337100</v>
      </c>
      <c r="L379" s="45">
        <v>261.35000000000002</v>
      </c>
      <c r="M379" s="41">
        <v>9</v>
      </c>
      <c r="N379" s="32">
        <f>Rådatakommune[[#This Row],[B15-O]]/Rådatakommune[[#This Row],[Totalareal2015-O]]</f>
        <v>7.6129610942930821</v>
      </c>
      <c r="O379" s="34">
        <f>Rådatakommune[[#This Row],[B15-O]]/Rådatakommune[[#This Row],[B05-O]]-1</f>
        <v>-7.6190476190476142E-2</v>
      </c>
      <c r="P379" s="34">
        <f>Rådatakommune[[#This Row],[Kvinner20-39-O]]/Rådatakommune[[#This Row],[B15-O]]</f>
        <v>9.5729013254786458E-2</v>
      </c>
      <c r="Q379" s="34">
        <f>Rådatakommune[[#This Row],[Eldre67+-O]]/Rådatakommune[[#This Row],[B15-O]]</f>
        <v>0.20986745213549338</v>
      </c>
      <c r="R379" s="34">
        <f>Rådatakommune[[#This Row],[S14-O]]/Rådatakommune[[#This Row],[S04-O]]-1</f>
        <v>-2.5466893039049254E-2</v>
      </c>
      <c r="S379" s="34">
        <f>Rådatakommune[[#This Row],[Y14-O]]/Rådatakommune[[#This Row],[Folk20-64-O]]</f>
        <v>0.87154696132596687</v>
      </c>
    </row>
    <row r="380" spans="1:19" x14ac:dyDescent="0.25">
      <c r="A380" s="2" t="s">
        <v>378</v>
      </c>
      <c r="B380" s="37">
        <v>10764</v>
      </c>
      <c r="C380" s="36">
        <v>11140</v>
      </c>
      <c r="D380" s="33">
        <v>5517</v>
      </c>
      <c r="E380" s="38">
        <v>1764</v>
      </c>
      <c r="F380" s="39">
        <v>1250</v>
      </c>
      <c r="G380">
        <v>6218</v>
      </c>
      <c r="H380" s="33">
        <v>4537</v>
      </c>
      <c r="I380" s="33">
        <v>5400</v>
      </c>
      <c r="J380" s="5">
        <v>424.64</v>
      </c>
      <c r="K380" s="40">
        <v>352000</v>
      </c>
      <c r="L380" s="45">
        <v>236.46666666666999</v>
      </c>
      <c r="M380" s="41">
        <v>9</v>
      </c>
      <c r="N380" s="32">
        <f>Rådatakommune[[#This Row],[B15-O]]/Rådatakommune[[#This Row],[Totalareal2015-O]]</f>
        <v>26.233986435568955</v>
      </c>
      <c r="O380" s="34">
        <f>Rådatakommune[[#This Row],[B15-O]]/Rådatakommune[[#This Row],[B05-O]]-1</f>
        <v>3.4931252322556672E-2</v>
      </c>
      <c r="P380" s="34">
        <f>Rådatakommune[[#This Row],[Kvinner20-39-O]]/Rådatakommune[[#This Row],[B15-O]]</f>
        <v>0.11220825852782765</v>
      </c>
      <c r="Q380" s="34">
        <f>Rådatakommune[[#This Row],[Eldre67+-O]]/Rådatakommune[[#This Row],[B15-O]]</f>
        <v>0.15834829443447038</v>
      </c>
      <c r="R380" s="34">
        <f>Rådatakommune[[#This Row],[S14-O]]/Rådatakommune[[#This Row],[S04-O]]-1</f>
        <v>0.19021379766365443</v>
      </c>
      <c r="S380" s="34">
        <f>Rådatakommune[[#This Row],[Y14-O]]/Rådatakommune[[#This Row],[Folk20-64-O]]</f>
        <v>0.88726278546156323</v>
      </c>
    </row>
    <row r="381" spans="1:19" x14ac:dyDescent="0.25">
      <c r="A381" s="2" t="s">
        <v>379</v>
      </c>
      <c r="B381" s="37">
        <v>9034</v>
      </c>
      <c r="C381" s="36">
        <v>9285</v>
      </c>
      <c r="D381" s="33">
        <v>4724</v>
      </c>
      <c r="E381" s="38">
        <v>1463</v>
      </c>
      <c r="F381" s="39">
        <v>1080</v>
      </c>
      <c r="G381">
        <v>5399</v>
      </c>
      <c r="H381" s="33">
        <v>4029</v>
      </c>
      <c r="I381" s="33">
        <v>4511</v>
      </c>
      <c r="J381" s="5">
        <v>479.14</v>
      </c>
      <c r="K381" s="40">
        <v>353700</v>
      </c>
      <c r="L381" s="45">
        <v>240.08333333333002</v>
      </c>
      <c r="M381" s="41">
        <v>7</v>
      </c>
      <c r="N381" s="32">
        <f>Rådatakommune[[#This Row],[B15-O]]/Rådatakommune[[#This Row],[Totalareal2015-O]]</f>
        <v>19.378469758316985</v>
      </c>
      <c r="O381" s="34">
        <f>Rådatakommune[[#This Row],[B15-O]]/Rådatakommune[[#This Row],[B05-O]]-1</f>
        <v>2.7783927385432783E-2</v>
      </c>
      <c r="P381" s="34">
        <f>Rådatakommune[[#This Row],[Kvinner20-39-O]]/Rådatakommune[[#This Row],[B15-O]]</f>
        <v>0.11631663974151858</v>
      </c>
      <c r="Q381" s="34">
        <f>Rådatakommune[[#This Row],[Eldre67+-O]]/Rådatakommune[[#This Row],[B15-O]]</f>
        <v>0.15756596661281638</v>
      </c>
      <c r="R381" s="34">
        <f>Rådatakommune[[#This Row],[S14-O]]/Rådatakommune[[#This Row],[S04-O]]-1</f>
        <v>0.11963266319185895</v>
      </c>
      <c r="S381" s="34">
        <f>Rådatakommune[[#This Row],[Y14-O]]/Rådatakommune[[#This Row],[Folk20-64-O]]</f>
        <v>0.87497684756436378</v>
      </c>
    </row>
    <row r="382" spans="1:19" x14ac:dyDescent="0.25">
      <c r="A382" s="2" t="s">
        <v>380</v>
      </c>
      <c r="B382" s="37">
        <v>8039</v>
      </c>
      <c r="C382" s="36">
        <v>8057</v>
      </c>
      <c r="D382" s="33">
        <v>3903</v>
      </c>
      <c r="E382" s="38">
        <v>1477</v>
      </c>
      <c r="F382" s="39">
        <v>851</v>
      </c>
      <c r="G382">
        <v>4484</v>
      </c>
      <c r="H382" s="33">
        <v>3466</v>
      </c>
      <c r="I382" s="33">
        <v>3718</v>
      </c>
      <c r="J382" s="5">
        <v>566.55999999999995</v>
      </c>
      <c r="K382" s="40">
        <v>352700</v>
      </c>
      <c r="L382" s="45">
        <v>249.01666666667001</v>
      </c>
      <c r="M382" s="41">
        <v>8</v>
      </c>
      <c r="N382" s="32">
        <f>Rådatakommune[[#This Row],[B15-O]]/Rådatakommune[[#This Row],[Totalareal2015-O]]</f>
        <v>14.22091217170291</v>
      </c>
      <c r="O382" s="34">
        <f>Rådatakommune[[#This Row],[B15-O]]/Rådatakommune[[#This Row],[B05-O]]-1</f>
        <v>2.239084463241614E-3</v>
      </c>
      <c r="P382" s="34">
        <f>Rådatakommune[[#This Row],[Kvinner20-39-O]]/Rådatakommune[[#This Row],[B15-O]]</f>
        <v>0.10562244011418642</v>
      </c>
      <c r="Q382" s="34">
        <f>Rådatakommune[[#This Row],[Eldre67+-O]]/Rådatakommune[[#This Row],[B15-O]]</f>
        <v>0.18331885317115551</v>
      </c>
      <c r="R382" s="34">
        <f>Rådatakommune[[#This Row],[S14-O]]/Rådatakommune[[#This Row],[S04-O]]-1</f>
        <v>7.2706289671090607E-2</v>
      </c>
      <c r="S382" s="34">
        <f>Rådatakommune[[#This Row],[Y14-O]]/Rådatakommune[[#This Row],[Folk20-64-O]]</f>
        <v>0.87042818911685993</v>
      </c>
    </row>
    <row r="383" spans="1:19" x14ac:dyDescent="0.25">
      <c r="A383" s="2" t="s">
        <v>381</v>
      </c>
      <c r="B383" s="37">
        <v>3003</v>
      </c>
      <c r="C383" s="36">
        <v>2642</v>
      </c>
      <c r="D383" s="33">
        <v>1103</v>
      </c>
      <c r="E383" s="38">
        <v>688</v>
      </c>
      <c r="F383" s="39">
        <v>208</v>
      </c>
      <c r="G383">
        <v>1385</v>
      </c>
      <c r="H383" s="33">
        <v>1017</v>
      </c>
      <c r="I383" s="33">
        <v>925</v>
      </c>
      <c r="J383" s="5">
        <v>246.68</v>
      </c>
      <c r="K383" s="40">
        <v>316300</v>
      </c>
      <c r="L383" s="45">
        <v>306.21666666670001</v>
      </c>
      <c r="M383" s="41">
        <v>8</v>
      </c>
      <c r="N383" s="32">
        <f>Rådatakommune[[#This Row],[B15-O]]/Rådatakommune[[#This Row],[Totalareal2015-O]]</f>
        <v>10.710231879357872</v>
      </c>
      <c r="O383" s="34">
        <f>Rådatakommune[[#This Row],[B15-O]]/Rådatakommune[[#This Row],[B05-O]]-1</f>
        <v>-0.12021312021312025</v>
      </c>
      <c r="P383" s="34">
        <f>Rådatakommune[[#This Row],[Kvinner20-39-O]]/Rådatakommune[[#This Row],[B15-O]]</f>
        <v>7.8728236184708561E-2</v>
      </c>
      <c r="Q383" s="34">
        <f>Rådatakommune[[#This Row],[Eldre67+-O]]/Rådatakommune[[#This Row],[B15-O]]</f>
        <v>0.2604087812263437</v>
      </c>
      <c r="R383" s="34">
        <f>Rådatakommune[[#This Row],[S14-O]]/Rådatakommune[[#This Row],[S04-O]]-1</f>
        <v>-9.0462143559488672E-2</v>
      </c>
      <c r="S383" s="34">
        <f>Rådatakommune[[#This Row],[Y14-O]]/Rådatakommune[[#This Row],[Folk20-64-O]]</f>
        <v>0.7963898916967509</v>
      </c>
    </row>
    <row r="384" spans="1:19" x14ac:dyDescent="0.25">
      <c r="A384" s="2" t="s">
        <v>382</v>
      </c>
      <c r="B384" s="37">
        <v>4550</v>
      </c>
      <c r="C384" s="36">
        <v>4563</v>
      </c>
      <c r="D384" s="33">
        <v>2175</v>
      </c>
      <c r="E384" s="38">
        <v>746</v>
      </c>
      <c r="F384" s="39">
        <v>498</v>
      </c>
      <c r="G384">
        <v>2610</v>
      </c>
      <c r="H384" s="33">
        <v>1853</v>
      </c>
      <c r="I384" s="33">
        <v>1969</v>
      </c>
      <c r="J384" s="5">
        <v>319.51</v>
      </c>
      <c r="K384" s="40">
        <v>352600</v>
      </c>
      <c r="L384" s="45">
        <v>294.8333333333</v>
      </c>
      <c r="M384" s="41">
        <v>8</v>
      </c>
      <c r="N384" s="32">
        <f>Rådatakommune[[#This Row],[B15-O]]/Rådatakommune[[#This Row],[Totalareal2015-O]]</f>
        <v>14.281243153578918</v>
      </c>
      <c r="O384" s="34">
        <f>Rådatakommune[[#This Row],[B15-O]]/Rådatakommune[[#This Row],[B05-O]]-1</f>
        <v>2.8571428571428914E-3</v>
      </c>
      <c r="P384" s="34">
        <f>Rådatakommune[[#This Row],[Kvinner20-39-O]]/Rådatakommune[[#This Row],[B15-O]]</f>
        <v>0.10913872452333991</v>
      </c>
      <c r="Q384" s="34">
        <f>Rådatakommune[[#This Row],[Eldre67+-O]]/Rådatakommune[[#This Row],[B15-O]]</f>
        <v>0.16348893271970194</v>
      </c>
      <c r="R384" s="34">
        <f>Rådatakommune[[#This Row],[S14-O]]/Rådatakommune[[#This Row],[S04-O]]-1</f>
        <v>6.2601187263896296E-2</v>
      </c>
      <c r="S384" s="34">
        <f>Rådatakommune[[#This Row],[Y14-O]]/Rådatakommune[[#This Row],[Folk20-64-O]]</f>
        <v>0.83333333333333337</v>
      </c>
    </row>
    <row r="385" spans="1:19" x14ac:dyDescent="0.25">
      <c r="A385" s="2" t="s">
        <v>383</v>
      </c>
      <c r="B385" s="37">
        <v>9536</v>
      </c>
      <c r="C385" s="36">
        <v>10166</v>
      </c>
      <c r="D385" s="33">
        <v>5053</v>
      </c>
      <c r="E385" s="38">
        <v>1446</v>
      </c>
      <c r="F385" s="39">
        <v>1176</v>
      </c>
      <c r="G385">
        <v>5864</v>
      </c>
      <c r="H385" s="33">
        <v>5002</v>
      </c>
      <c r="I385" s="33">
        <v>5117</v>
      </c>
      <c r="J385" s="5">
        <v>721.91</v>
      </c>
      <c r="K385" s="40">
        <v>364400</v>
      </c>
      <c r="L385" s="45">
        <v>261.11666666669998</v>
      </c>
      <c r="M385" s="41">
        <v>8</v>
      </c>
      <c r="N385" s="32">
        <f>Rådatakommune[[#This Row],[B15-O]]/Rådatakommune[[#This Row],[Totalareal2015-O]]</f>
        <v>14.082087794877479</v>
      </c>
      <c r="O385" s="34">
        <f>Rådatakommune[[#This Row],[B15-O]]/Rådatakommune[[#This Row],[B05-O]]-1</f>
        <v>6.6065436241610653E-2</v>
      </c>
      <c r="P385" s="34">
        <f>Rådatakommune[[#This Row],[Kvinner20-39-O]]/Rådatakommune[[#This Row],[B15-O]]</f>
        <v>0.11567971670273461</v>
      </c>
      <c r="Q385" s="34">
        <f>Rådatakommune[[#This Row],[Eldre67+-O]]/Rådatakommune[[#This Row],[B15-O]]</f>
        <v>0.14223883533346449</v>
      </c>
      <c r="R385" s="34">
        <f>Rådatakommune[[#This Row],[S14-O]]/Rådatakommune[[#This Row],[S04-O]]-1</f>
        <v>2.2990803678528682E-2</v>
      </c>
      <c r="S385" s="34">
        <f>Rådatakommune[[#This Row],[Y14-O]]/Rådatakommune[[#This Row],[Folk20-64-O]]</f>
        <v>0.86169849931787179</v>
      </c>
    </row>
    <row r="386" spans="1:19" x14ac:dyDescent="0.25">
      <c r="A386" s="2" t="s">
        <v>384</v>
      </c>
      <c r="B386" s="37">
        <v>5341</v>
      </c>
      <c r="C386" s="36">
        <v>4991</v>
      </c>
      <c r="D386" s="33">
        <v>2318</v>
      </c>
      <c r="E386" s="38">
        <v>1022</v>
      </c>
      <c r="F386" s="39">
        <v>474</v>
      </c>
      <c r="G386">
        <v>2694</v>
      </c>
      <c r="H386" s="33">
        <v>2522</v>
      </c>
      <c r="I386" s="33">
        <v>2600</v>
      </c>
      <c r="J386" s="5">
        <v>656.12</v>
      </c>
      <c r="K386" s="40">
        <v>358000</v>
      </c>
      <c r="L386" s="45">
        <v>256.8</v>
      </c>
      <c r="M386" s="41">
        <v>9</v>
      </c>
      <c r="N386" s="32">
        <f>Rådatakommune[[#This Row],[B15-O]]/Rådatakommune[[#This Row],[Totalareal2015-O]]</f>
        <v>7.606840212156313</v>
      </c>
      <c r="O386" s="34">
        <f>Rådatakommune[[#This Row],[B15-O]]/Rådatakommune[[#This Row],[B05-O]]-1</f>
        <v>-6.5530799475753576E-2</v>
      </c>
      <c r="P386" s="34">
        <f>Rådatakommune[[#This Row],[Kvinner20-39-O]]/Rådatakommune[[#This Row],[B15-O]]</f>
        <v>9.497094770587057E-2</v>
      </c>
      <c r="Q386" s="34">
        <f>Rådatakommune[[#This Row],[Eldre67+-O]]/Rådatakommune[[#This Row],[B15-O]]</f>
        <v>0.20476858345021037</v>
      </c>
      <c r="R386" s="34">
        <f>Rådatakommune[[#This Row],[S14-O]]/Rådatakommune[[#This Row],[S04-O]]-1</f>
        <v>3.0927835051546282E-2</v>
      </c>
      <c r="S386" s="34">
        <f>Rådatakommune[[#This Row],[Y14-O]]/Rådatakommune[[#This Row],[Folk20-64-O]]</f>
        <v>0.86043058648849291</v>
      </c>
    </row>
    <row r="387" spans="1:19" x14ac:dyDescent="0.25">
      <c r="A387" s="2" t="s">
        <v>385</v>
      </c>
      <c r="B387" s="37">
        <v>1201</v>
      </c>
      <c r="C387" s="36">
        <v>1070</v>
      </c>
      <c r="D387" s="33">
        <v>536</v>
      </c>
      <c r="E387" s="38">
        <v>248</v>
      </c>
      <c r="F387" s="39">
        <v>99</v>
      </c>
      <c r="G387">
        <v>588</v>
      </c>
      <c r="H387" s="33">
        <v>522</v>
      </c>
      <c r="I387" s="33">
        <v>471</v>
      </c>
      <c r="J387" s="5">
        <v>118.62</v>
      </c>
      <c r="K387" s="40">
        <v>352600</v>
      </c>
      <c r="L387" s="45">
        <v>283.11666666669998</v>
      </c>
      <c r="M387" s="41">
        <v>11</v>
      </c>
      <c r="N387" s="32">
        <f>Rådatakommune[[#This Row],[B15-O]]/Rådatakommune[[#This Row],[Totalareal2015-O]]</f>
        <v>9.0204012814027976</v>
      </c>
      <c r="O387" s="34">
        <f>Rådatakommune[[#This Row],[B15-O]]/Rådatakommune[[#This Row],[B05-O]]-1</f>
        <v>-0.10907577019150705</v>
      </c>
      <c r="P387" s="34">
        <f>Rådatakommune[[#This Row],[Kvinner20-39-O]]/Rådatakommune[[#This Row],[B15-O]]</f>
        <v>9.2523364485981308E-2</v>
      </c>
      <c r="Q387" s="34">
        <f>Rådatakommune[[#This Row],[Eldre67+-O]]/Rådatakommune[[#This Row],[B15-O]]</f>
        <v>0.23177570093457944</v>
      </c>
      <c r="R387" s="34">
        <f>Rådatakommune[[#This Row],[S14-O]]/Rådatakommune[[#This Row],[S04-O]]-1</f>
        <v>-9.7701149425287404E-2</v>
      </c>
      <c r="S387" s="34">
        <f>Rådatakommune[[#This Row],[Y14-O]]/Rådatakommune[[#This Row],[Folk20-64-O]]</f>
        <v>0.91156462585034015</v>
      </c>
    </row>
    <row r="388" spans="1:19" x14ac:dyDescent="0.25">
      <c r="A388" s="2" t="s">
        <v>386</v>
      </c>
      <c r="B388" s="37">
        <v>62558</v>
      </c>
      <c r="C388" s="36">
        <v>72681</v>
      </c>
      <c r="D388" s="33">
        <v>39894</v>
      </c>
      <c r="E388" s="38">
        <v>7434</v>
      </c>
      <c r="F388" s="39">
        <v>10865</v>
      </c>
      <c r="G388">
        <v>46175</v>
      </c>
      <c r="H388" s="33">
        <v>35995</v>
      </c>
      <c r="I388" s="33">
        <v>41552</v>
      </c>
      <c r="J388" s="5">
        <v>2520.61</v>
      </c>
      <c r="K388" s="40">
        <v>402600</v>
      </c>
      <c r="L388" s="45">
        <v>215.6</v>
      </c>
      <c r="M388" s="41">
        <v>4</v>
      </c>
      <c r="N388" s="32">
        <f>Rådatakommune[[#This Row],[B15-O]]/Rådatakommune[[#This Row],[Totalareal2015-O]]</f>
        <v>28.834686841677211</v>
      </c>
      <c r="O388" s="34">
        <f>Rådatakommune[[#This Row],[B15-O]]/Rådatakommune[[#This Row],[B05-O]]-1</f>
        <v>0.16181783305092878</v>
      </c>
      <c r="P388" s="34">
        <f>Rådatakommune[[#This Row],[Kvinner20-39-O]]/Rådatakommune[[#This Row],[B15-O]]</f>
        <v>0.14948886228863115</v>
      </c>
      <c r="Q388" s="34">
        <f>Rådatakommune[[#This Row],[Eldre67+-O]]/Rådatakommune[[#This Row],[B15-O]]</f>
        <v>0.10228257728980064</v>
      </c>
      <c r="R388" s="34">
        <f>Rådatakommune[[#This Row],[S14-O]]/Rådatakommune[[#This Row],[S04-O]]-1</f>
        <v>0.15438255313237947</v>
      </c>
      <c r="S388" s="34">
        <f>Rådatakommune[[#This Row],[Y14-O]]/Rådatakommune[[#This Row],[Folk20-64-O]]</f>
        <v>0.86397401191120737</v>
      </c>
    </row>
    <row r="389" spans="1:19" x14ac:dyDescent="0.25">
      <c r="A389" s="2" t="s">
        <v>387</v>
      </c>
      <c r="B389" s="37">
        <v>23643</v>
      </c>
      <c r="C389" s="36">
        <v>24676</v>
      </c>
      <c r="D389" s="33">
        <v>12441</v>
      </c>
      <c r="E389" s="38">
        <v>3772</v>
      </c>
      <c r="F389" s="39">
        <v>3018</v>
      </c>
      <c r="G389">
        <v>14447</v>
      </c>
      <c r="H389" s="42">
        <v>11773</v>
      </c>
      <c r="I389" s="33">
        <v>12478</v>
      </c>
      <c r="J389" s="5">
        <v>445.14</v>
      </c>
      <c r="K389" s="40">
        <v>381900</v>
      </c>
      <c r="L389" s="45">
        <v>234.96666666670001</v>
      </c>
      <c r="M389" s="41">
        <v>5</v>
      </c>
      <c r="N389" s="32">
        <f>Rådatakommune[[#This Row],[B15-O]]/Rådatakommune[[#This Row],[Totalareal2015-O]]</f>
        <v>55.434245405939706</v>
      </c>
      <c r="O389" s="34">
        <f>Rådatakommune[[#This Row],[B15-O]]/Rådatakommune[[#This Row],[B05-O]]-1</f>
        <v>4.3691578902846473E-2</v>
      </c>
      <c r="P389" s="34">
        <f>Rådatakommune[[#This Row],[Kvinner20-39-O]]/Rådatakommune[[#This Row],[B15-O]]</f>
        <v>0.12230507375587615</v>
      </c>
      <c r="Q389" s="34">
        <f>Rådatakommune[[#This Row],[Eldre67+-O]]/Rådatakommune[[#This Row],[B15-O]]</f>
        <v>0.15286107959150591</v>
      </c>
      <c r="R389" s="34">
        <f>Rådatakommune[[#This Row],[S14-O]]/Rådatakommune[[#This Row],[S04-O]]-1</f>
        <v>5.9882782638239984E-2</v>
      </c>
      <c r="S389" s="34">
        <f>Rådatakommune[[#This Row],[Y14-O]]/Rådatakommune[[#This Row],[Folk20-64-O]]</f>
        <v>0.86114764310929603</v>
      </c>
    </row>
    <row r="390" spans="1:19" x14ac:dyDescent="0.25">
      <c r="A390" s="2" t="s">
        <v>388</v>
      </c>
      <c r="B390" s="37">
        <v>3072</v>
      </c>
      <c r="C390" s="36">
        <v>3076</v>
      </c>
      <c r="D390" s="33">
        <v>1441</v>
      </c>
      <c r="E390" s="38">
        <v>539</v>
      </c>
      <c r="F390" s="39">
        <v>328</v>
      </c>
      <c r="G390">
        <v>1710</v>
      </c>
      <c r="H390" s="33">
        <v>1332</v>
      </c>
      <c r="I390" s="33">
        <v>1165</v>
      </c>
      <c r="J390" s="5">
        <v>512.58000000000004</v>
      </c>
      <c r="K390" s="40">
        <v>331700</v>
      </c>
      <c r="L390" s="45">
        <v>247.4</v>
      </c>
      <c r="M390" s="41">
        <v>5</v>
      </c>
      <c r="N390" s="32">
        <f>Rådatakommune[[#This Row],[B15-O]]/Rådatakommune[[#This Row],[Totalareal2015-O]]</f>
        <v>6.0010144757891446</v>
      </c>
      <c r="O390" s="34">
        <f>Rådatakommune[[#This Row],[B15-O]]/Rådatakommune[[#This Row],[B05-O]]-1</f>
        <v>1.3020833333332593E-3</v>
      </c>
      <c r="P390" s="34">
        <f>Rådatakommune[[#This Row],[Kvinner20-39-O]]/Rådatakommune[[#This Row],[B15-O]]</f>
        <v>0.10663198959687907</v>
      </c>
      <c r="Q390" s="34">
        <f>Rådatakommune[[#This Row],[Eldre67+-O]]/Rådatakommune[[#This Row],[B15-O]]</f>
        <v>0.17522756827048114</v>
      </c>
      <c r="R390" s="34">
        <f>Rådatakommune[[#This Row],[S14-O]]/Rådatakommune[[#This Row],[S04-O]]-1</f>
        <v>-0.12537537537537535</v>
      </c>
      <c r="S390" s="34">
        <f>Rådatakommune[[#This Row],[Y14-O]]/Rådatakommune[[#This Row],[Folk20-64-O]]</f>
        <v>0.84269005847953216</v>
      </c>
    </row>
    <row r="391" spans="1:19" x14ac:dyDescent="0.25">
      <c r="A391" s="2" t="s">
        <v>389</v>
      </c>
      <c r="B391" s="37">
        <v>2954</v>
      </c>
      <c r="C391" s="36">
        <v>2988</v>
      </c>
      <c r="D391" s="33">
        <v>1430</v>
      </c>
      <c r="E391" s="38">
        <v>590</v>
      </c>
      <c r="F391" s="39">
        <v>298</v>
      </c>
      <c r="G391">
        <v>1674</v>
      </c>
      <c r="H391" s="33">
        <v>977</v>
      </c>
      <c r="I391" s="33">
        <v>943</v>
      </c>
      <c r="J391" s="5">
        <v>495</v>
      </c>
      <c r="K391" s="40">
        <v>347800</v>
      </c>
      <c r="L391" s="45">
        <v>212.48333333329998</v>
      </c>
      <c r="M391" s="41">
        <v>5</v>
      </c>
      <c r="N391" s="32">
        <f>Rådatakommune[[#This Row],[B15-O]]/Rådatakommune[[#This Row],[Totalareal2015-O]]</f>
        <v>6.0363636363636362</v>
      </c>
      <c r="O391" s="34">
        <f>Rådatakommune[[#This Row],[B15-O]]/Rådatakommune[[#This Row],[B05-O]]-1</f>
        <v>1.1509817197020933E-2</v>
      </c>
      <c r="P391" s="34">
        <f>Rådatakommune[[#This Row],[Kvinner20-39-O]]/Rådatakommune[[#This Row],[B15-O]]</f>
        <v>9.9732262382864798E-2</v>
      </c>
      <c r="Q391" s="34">
        <f>Rådatakommune[[#This Row],[Eldre67+-O]]/Rådatakommune[[#This Row],[B15-O]]</f>
        <v>0.19745649263721554</v>
      </c>
      <c r="R391" s="34">
        <f>Rådatakommune[[#This Row],[S14-O]]/Rådatakommune[[#This Row],[S04-O]]-1</f>
        <v>-3.4800409416581357E-2</v>
      </c>
      <c r="S391" s="34">
        <f>Rådatakommune[[#This Row],[Y14-O]]/Rådatakommune[[#This Row],[Folk20-64-O]]</f>
        <v>0.85424133811230585</v>
      </c>
    </row>
    <row r="392" spans="1:19" x14ac:dyDescent="0.25">
      <c r="A392" s="2" t="s">
        <v>390</v>
      </c>
      <c r="B392" s="37">
        <v>1649</v>
      </c>
      <c r="C392" s="36">
        <v>1410</v>
      </c>
      <c r="D392" s="33">
        <v>660</v>
      </c>
      <c r="E392" s="38">
        <v>367</v>
      </c>
      <c r="F392" s="39">
        <v>117</v>
      </c>
      <c r="G392">
        <v>725</v>
      </c>
      <c r="H392" s="33">
        <v>570</v>
      </c>
      <c r="I392" s="33">
        <v>583</v>
      </c>
      <c r="J392" s="5">
        <v>241.06</v>
      </c>
      <c r="K392" s="40">
        <v>346800</v>
      </c>
      <c r="L392" s="45">
        <v>292.56666666670003</v>
      </c>
      <c r="M392" s="41">
        <v>11</v>
      </c>
      <c r="N392" s="32">
        <f>Rådatakommune[[#This Row],[B15-O]]/Rådatakommune[[#This Row],[Totalareal2015-O]]</f>
        <v>5.8491661826931054</v>
      </c>
      <c r="O392" s="34">
        <f>Rådatakommune[[#This Row],[B15-O]]/Rådatakommune[[#This Row],[B05-O]]-1</f>
        <v>-0.14493632504548215</v>
      </c>
      <c r="P392" s="34">
        <f>Rådatakommune[[#This Row],[Kvinner20-39-O]]/Rådatakommune[[#This Row],[B15-O]]</f>
        <v>8.2978723404255314E-2</v>
      </c>
      <c r="Q392" s="34">
        <f>Rådatakommune[[#This Row],[Eldre67+-O]]/Rådatakommune[[#This Row],[B15-O]]</f>
        <v>0.2602836879432624</v>
      </c>
      <c r="R392" s="34">
        <f>Rådatakommune[[#This Row],[S14-O]]/Rådatakommune[[#This Row],[S04-O]]-1</f>
        <v>2.280701754385972E-2</v>
      </c>
      <c r="S392" s="34">
        <f>Rådatakommune[[#This Row],[Y14-O]]/Rådatakommune[[#This Row],[Folk20-64-O]]</f>
        <v>0.91034482758620694</v>
      </c>
    </row>
    <row r="393" spans="1:19" x14ac:dyDescent="0.25">
      <c r="A393" s="2" t="s">
        <v>391</v>
      </c>
      <c r="B393" s="37">
        <v>1268</v>
      </c>
      <c r="C393" s="36">
        <v>1137</v>
      </c>
      <c r="D393" s="33">
        <v>511</v>
      </c>
      <c r="E393" s="38">
        <v>264</v>
      </c>
      <c r="F393" s="39">
        <v>102</v>
      </c>
      <c r="G393">
        <v>614</v>
      </c>
      <c r="H393" s="33">
        <v>404</v>
      </c>
      <c r="I393" s="33">
        <v>412</v>
      </c>
      <c r="J393" s="5">
        <v>312.73999999999995</v>
      </c>
      <c r="K393" s="40">
        <v>325800</v>
      </c>
      <c r="L393" s="45">
        <v>251.75</v>
      </c>
      <c r="M393" s="41">
        <v>5</v>
      </c>
      <c r="N393" s="32">
        <f>Rådatakommune[[#This Row],[B15-O]]/Rådatakommune[[#This Row],[Totalareal2015-O]]</f>
        <v>3.635607853168767</v>
      </c>
      <c r="O393" s="34">
        <f>Rådatakommune[[#This Row],[B15-O]]/Rådatakommune[[#This Row],[B05-O]]-1</f>
        <v>-0.10331230283911674</v>
      </c>
      <c r="P393" s="34">
        <f>Rådatakommune[[#This Row],[Kvinner20-39-O]]/Rådatakommune[[#This Row],[B15-O]]</f>
        <v>8.9709762532981532E-2</v>
      </c>
      <c r="Q393" s="34">
        <f>Rådatakommune[[#This Row],[Eldre67+-O]]/Rådatakommune[[#This Row],[B15-O]]</f>
        <v>0.23218997361477572</v>
      </c>
      <c r="R393" s="34">
        <f>Rådatakommune[[#This Row],[S14-O]]/Rådatakommune[[#This Row],[S04-O]]-1</f>
        <v>1.980198019801982E-2</v>
      </c>
      <c r="S393" s="34">
        <f>Rådatakommune[[#This Row],[Y14-O]]/Rådatakommune[[#This Row],[Folk20-64-O]]</f>
        <v>0.83224755700325737</v>
      </c>
    </row>
    <row r="394" spans="1:19" x14ac:dyDescent="0.25">
      <c r="A394" s="2" t="s">
        <v>392</v>
      </c>
      <c r="B394" s="37">
        <v>1029</v>
      </c>
      <c r="C394" s="36">
        <v>1008</v>
      </c>
      <c r="D394" s="33">
        <v>454</v>
      </c>
      <c r="E394" s="38">
        <v>214</v>
      </c>
      <c r="F394" s="39">
        <v>95</v>
      </c>
      <c r="G394">
        <v>517</v>
      </c>
      <c r="H394" s="33">
        <v>341</v>
      </c>
      <c r="I394" s="33">
        <v>379</v>
      </c>
      <c r="J394" s="5">
        <v>301.64</v>
      </c>
      <c r="K394" s="40">
        <v>321600</v>
      </c>
      <c r="L394" s="45">
        <v>262.53333333329999</v>
      </c>
      <c r="M394" s="41">
        <v>11</v>
      </c>
      <c r="N394" s="32">
        <f>Rådatakommune[[#This Row],[B15-O]]/Rådatakommune[[#This Row],[Totalareal2015-O]]</f>
        <v>3.3417318658002917</v>
      </c>
      <c r="O394" s="34">
        <f>Rådatakommune[[#This Row],[B15-O]]/Rådatakommune[[#This Row],[B05-O]]-1</f>
        <v>-2.0408163265306145E-2</v>
      </c>
      <c r="P394" s="34">
        <f>Rådatakommune[[#This Row],[Kvinner20-39-O]]/Rådatakommune[[#This Row],[B15-O]]</f>
        <v>9.4246031746031744E-2</v>
      </c>
      <c r="Q394" s="34">
        <f>Rådatakommune[[#This Row],[Eldre67+-O]]/Rådatakommune[[#This Row],[B15-O]]</f>
        <v>0.2123015873015873</v>
      </c>
      <c r="R394" s="34">
        <f>Rådatakommune[[#This Row],[S14-O]]/Rådatakommune[[#This Row],[S04-O]]-1</f>
        <v>0.11143695014662747</v>
      </c>
      <c r="S394" s="34">
        <f>Rådatakommune[[#This Row],[Y14-O]]/Rådatakommune[[#This Row],[Folk20-64-O]]</f>
        <v>0.87814313346228234</v>
      </c>
    </row>
    <row r="395" spans="1:19" x14ac:dyDescent="0.25">
      <c r="A395" s="2" t="s">
        <v>393</v>
      </c>
      <c r="B395" s="37">
        <v>3874</v>
      </c>
      <c r="C395" s="36">
        <v>4078</v>
      </c>
      <c r="D395" s="33">
        <v>2191</v>
      </c>
      <c r="E395" s="38">
        <v>637</v>
      </c>
      <c r="F395" s="39">
        <v>524</v>
      </c>
      <c r="G395">
        <v>2394</v>
      </c>
      <c r="H395" s="33">
        <v>1817</v>
      </c>
      <c r="I395" s="33">
        <v>1979</v>
      </c>
      <c r="J395" s="5">
        <v>2703.88</v>
      </c>
      <c r="K395" s="40">
        <v>375100</v>
      </c>
      <c r="L395" s="45">
        <v>234.4333333333</v>
      </c>
      <c r="M395" s="41">
        <v>9</v>
      </c>
      <c r="N395" s="32">
        <f>Rådatakommune[[#This Row],[B15-O]]/Rådatakommune[[#This Row],[Totalareal2015-O]]</f>
        <v>1.5082030267615427</v>
      </c>
      <c r="O395" s="34">
        <f>Rådatakommune[[#This Row],[B15-O]]/Rådatakommune[[#This Row],[B05-O]]-1</f>
        <v>5.2658750645327768E-2</v>
      </c>
      <c r="P395" s="34">
        <f>Rådatakommune[[#This Row],[Kvinner20-39-O]]/Rådatakommune[[#This Row],[B15-O]]</f>
        <v>0.12849435998038253</v>
      </c>
      <c r="Q395" s="34">
        <f>Rådatakommune[[#This Row],[Eldre67+-O]]/Rådatakommune[[#This Row],[B15-O]]</f>
        <v>0.15620402157920549</v>
      </c>
      <c r="R395" s="34">
        <f>Rådatakommune[[#This Row],[S14-O]]/Rådatakommune[[#This Row],[S04-O]]-1</f>
        <v>8.9157952669234986E-2</v>
      </c>
      <c r="S395" s="34">
        <f>Rådatakommune[[#This Row],[Y14-O]]/Rådatakommune[[#This Row],[Folk20-64-O]]</f>
        <v>0.91520467836257313</v>
      </c>
    </row>
    <row r="396" spans="1:19" x14ac:dyDescent="0.25">
      <c r="A396" s="2" t="s">
        <v>394</v>
      </c>
      <c r="B396" s="37">
        <v>2244</v>
      </c>
      <c r="C396" s="36">
        <v>2219</v>
      </c>
      <c r="D396" s="33">
        <v>1061</v>
      </c>
      <c r="E396" s="38">
        <v>398</v>
      </c>
      <c r="F396" s="39">
        <v>201</v>
      </c>
      <c r="G396">
        <v>1203</v>
      </c>
      <c r="H396" s="33">
        <v>889</v>
      </c>
      <c r="I396" s="33">
        <v>982</v>
      </c>
      <c r="J396" s="5">
        <v>457.96000000000004</v>
      </c>
      <c r="K396" s="40">
        <v>317900</v>
      </c>
      <c r="L396" s="45">
        <v>257.8</v>
      </c>
      <c r="M396" s="41">
        <v>11</v>
      </c>
      <c r="N396" s="32">
        <f>Rådatakommune[[#This Row],[B15-O]]/Rådatakommune[[#This Row],[Totalareal2015-O]]</f>
        <v>4.8454013450956408</v>
      </c>
      <c r="O396" s="34">
        <f>Rådatakommune[[#This Row],[B15-O]]/Rådatakommune[[#This Row],[B05-O]]-1</f>
        <v>-1.1140819964349347E-2</v>
      </c>
      <c r="P396" s="34">
        <f>Rådatakommune[[#This Row],[Kvinner20-39-O]]/Rådatakommune[[#This Row],[B15-O]]</f>
        <v>9.0581342947273547E-2</v>
      </c>
      <c r="Q396" s="34">
        <f>Rådatakommune[[#This Row],[Eldre67+-O]]/Rådatakommune[[#This Row],[B15-O]]</f>
        <v>0.1793600721045516</v>
      </c>
      <c r="R396" s="34">
        <f>Rådatakommune[[#This Row],[S14-O]]/Rådatakommune[[#This Row],[S04-O]]-1</f>
        <v>0.10461192350956128</v>
      </c>
      <c r="S396" s="34">
        <f>Rådatakommune[[#This Row],[Y14-O]]/Rådatakommune[[#This Row],[Folk20-64-O]]</f>
        <v>0.88196176226101408</v>
      </c>
    </row>
    <row r="397" spans="1:19" x14ac:dyDescent="0.25">
      <c r="A397" s="2" t="s">
        <v>395</v>
      </c>
      <c r="B397" s="37">
        <v>6658</v>
      </c>
      <c r="C397" s="36">
        <v>6693</v>
      </c>
      <c r="D397" s="33">
        <v>3573</v>
      </c>
      <c r="E397" s="38">
        <v>1048</v>
      </c>
      <c r="F397" s="39">
        <v>754</v>
      </c>
      <c r="G397">
        <v>3925</v>
      </c>
      <c r="H397" s="33">
        <v>3640</v>
      </c>
      <c r="I397" s="33">
        <v>3846</v>
      </c>
      <c r="J397" s="5">
        <v>3322.09</v>
      </c>
      <c r="K397" s="40">
        <v>378200</v>
      </c>
      <c r="L397" s="45">
        <v>221.5833333333</v>
      </c>
      <c r="M397" s="41">
        <v>9</v>
      </c>
      <c r="N397" s="32">
        <f>Rådatakommune[[#This Row],[B15-O]]/Rådatakommune[[#This Row],[Totalareal2015-O]]</f>
        <v>2.0146955681513745</v>
      </c>
      <c r="O397" s="34">
        <f>Rådatakommune[[#This Row],[B15-O]]/Rådatakommune[[#This Row],[B05-O]]-1</f>
        <v>5.2568338840492945E-3</v>
      </c>
      <c r="P397" s="34">
        <f>Rådatakommune[[#This Row],[Kvinner20-39-O]]/Rådatakommune[[#This Row],[B15-O]]</f>
        <v>0.11265501269983565</v>
      </c>
      <c r="Q397" s="34">
        <f>Rådatakommune[[#This Row],[Eldre67+-O]]/Rådatakommune[[#This Row],[B15-O]]</f>
        <v>0.15658150306290153</v>
      </c>
      <c r="R397" s="34">
        <f>Rådatakommune[[#This Row],[S14-O]]/Rådatakommune[[#This Row],[S04-O]]-1</f>
        <v>5.6593406593406614E-2</v>
      </c>
      <c r="S397" s="34">
        <f>Rådatakommune[[#This Row],[Y14-O]]/Rådatakommune[[#This Row],[Folk20-64-O]]</f>
        <v>0.91031847133757959</v>
      </c>
    </row>
    <row r="398" spans="1:19" x14ac:dyDescent="0.25">
      <c r="A398" s="2" t="s">
        <v>396</v>
      </c>
      <c r="B398" s="37">
        <v>3330</v>
      </c>
      <c r="C398" s="36">
        <v>3451</v>
      </c>
      <c r="D398" s="33">
        <v>1691</v>
      </c>
      <c r="E398" s="38">
        <v>548</v>
      </c>
      <c r="F398" s="39">
        <v>375</v>
      </c>
      <c r="G398">
        <v>1941</v>
      </c>
      <c r="H398" s="33">
        <v>1149</v>
      </c>
      <c r="I398" s="33">
        <v>1037</v>
      </c>
      <c r="J398" s="5">
        <v>361.17</v>
      </c>
      <c r="K398" s="40">
        <v>362100</v>
      </c>
      <c r="L398" s="45">
        <v>231.45</v>
      </c>
      <c r="M398" s="41">
        <v>8</v>
      </c>
      <c r="N398" s="32">
        <f>Rådatakommune[[#This Row],[B15-O]]/Rådatakommune[[#This Row],[Totalareal2015-O]]</f>
        <v>9.5550571752914131</v>
      </c>
      <c r="O398" s="34">
        <f>Rådatakommune[[#This Row],[B15-O]]/Rådatakommune[[#This Row],[B05-O]]-1</f>
        <v>3.6336336336336261E-2</v>
      </c>
      <c r="P398" s="34">
        <f>Rådatakommune[[#This Row],[Kvinner20-39-O]]/Rådatakommune[[#This Row],[B15-O]]</f>
        <v>0.10866415531729934</v>
      </c>
      <c r="Q398" s="34">
        <f>Rådatakommune[[#This Row],[Eldre67+-O]]/Rådatakommune[[#This Row],[B15-O]]</f>
        <v>0.15879455230368009</v>
      </c>
      <c r="R398" s="34">
        <f>Rådatakommune[[#This Row],[S14-O]]/Rådatakommune[[#This Row],[S04-O]]-1</f>
        <v>-9.7476066144473461E-2</v>
      </c>
      <c r="S398" s="34">
        <f>Rådatakommune[[#This Row],[Y14-O]]/Rådatakommune[[#This Row],[Folk20-64-O]]</f>
        <v>0.87120041215868105</v>
      </c>
    </row>
    <row r="399" spans="1:19" x14ac:dyDescent="0.25">
      <c r="A399" s="2" t="s">
        <v>397</v>
      </c>
      <c r="B399" s="37">
        <v>1288</v>
      </c>
      <c r="C399" s="36">
        <v>1154</v>
      </c>
      <c r="D399" s="33">
        <v>504</v>
      </c>
      <c r="E399" s="38">
        <v>255</v>
      </c>
      <c r="F399" s="39">
        <v>89</v>
      </c>
      <c r="G399">
        <v>636</v>
      </c>
      <c r="H399" s="33">
        <v>413</v>
      </c>
      <c r="I399" s="33">
        <v>347</v>
      </c>
      <c r="J399" s="5">
        <v>288.53999999999996</v>
      </c>
      <c r="K399" s="40">
        <v>334200</v>
      </c>
      <c r="L399" s="45">
        <v>255.11666666669998</v>
      </c>
      <c r="M399" s="41">
        <v>8</v>
      </c>
      <c r="N399" s="32">
        <f>Rådatakommune[[#This Row],[B15-O]]/Rådatakommune[[#This Row],[Totalareal2015-O]]</f>
        <v>3.999445484161642</v>
      </c>
      <c r="O399" s="34">
        <f>Rådatakommune[[#This Row],[B15-O]]/Rådatakommune[[#This Row],[B05-O]]-1</f>
        <v>-0.10403726708074534</v>
      </c>
      <c r="P399" s="34">
        <f>Rådatakommune[[#This Row],[Kvinner20-39-O]]/Rådatakommune[[#This Row],[B15-O]]</f>
        <v>7.7123050259965339E-2</v>
      </c>
      <c r="Q399" s="34">
        <f>Rådatakommune[[#This Row],[Eldre67+-O]]/Rådatakommune[[#This Row],[B15-O]]</f>
        <v>0.22097053726169844</v>
      </c>
      <c r="R399" s="34">
        <f>Rådatakommune[[#This Row],[S14-O]]/Rådatakommune[[#This Row],[S04-O]]-1</f>
        <v>-0.15980629539951574</v>
      </c>
      <c r="S399" s="34">
        <f>Rådatakommune[[#This Row],[Y14-O]]/Rådatakommune[[#This Row],[Folk20-64-O]]</f>
        <v>0.79245283018867929</v>
      </c>
    </row>
    <row r="400" spans="1:19" x14ac:dyDescent="0.25">
      <c r="A400" s="2" t="s">
        <v>398</v>
      </c>
      <c r="B400" s="37">
        <v>1632</v>
      </c>
      <c r="C400" s="36">
        <v>1544</v>
      </c>
      <c r="D400" s="33">
        <v>678</v>
      </c>
      <c r="E400" s="38">
        <v>357</v>
      </c>
      <c r="F400" s="39">
        <v>137</v>
      </c>
      <c r="G400">
        <v>775</v>
      </c>
      <c r="H400" s="33">
        <v>539</v>
      </c>
      <c r="I400" s="33">
        <v>570</v>
      </c>
      <c r="J400" s="5">
        <v>523.87</v>
      </c>
      <c r="K400" s="40">
        <v>335200</v>
      </c>
      <c r="L400" s="45">
        <v>265.03333333329999</v>
      </c>
      <c r="M400" s="41">
        <v>8</v>
      </c>
      <c r="N400" s="32">
        <f>Rådatakommune[[#This Row],[B15-O]]/Rådatakommune[[#This Row],[Totalareal2015-O]]</f>
        <v>2.9472960849065606</v>
      </c>
      <c r="O400" s="34">
        <f>Rådatakommune[[#This Row],[B15-O]]/Rådatakommune[[#This Row],[B05-O]]-1</f>
        <v>-5.3921568627451011E-2</v>
      </c>
      <c r="P400" s="34">
        <f>Rådatakommune[[#This Row],[Kvinner20-39-O]]/Rådatakommune[[#This Row],[B15-O]]</f>
        <v>8.8730569948186525E-2</v>
      </c>
      <c r="Q400" s="34">
        <f>Rådatakommune[[#This Row],[Eldre67+-O]]/Rådatakommune[[#This Row],[B15-O]]</f>
        <v>0.23121761658031087</v>
      </c>
      <c r="R400" s="34">
        <f>Rådatakommune[[#This Row],[S14-O]]/Rådatakommune[[#This Row],[S04-O]]-1</f>
        <v>5.7513914656771803E-2</v>
      </c>
      <c r="S400" s="34">
        <f>Rådatakommune[[#This Row],[Y14-O]]/Rådatakommune[[#This Row],[Folk20-64-O]]</f>
        <v>0.87483870967741939</v>
      </c>
    </row>
    <row r="401" spans="1:19" x14ac:dyDescent="0.25">
      <c r="A401" s="2" t="s">
        <v>399</v>
      </c>
      <c r="B401" s="37">
        <v>1033</v>
      </c>
      <c r="C401" s="36">
        <v>884</v>
      </c>
      <c r="D401" s="33">
        <v>413</v>
      </c>
      <c r="E401" s="38">
        <v>207</v>
      </c>
      <c r="F401" s="39">
        <v>83</v>
      </c>
      <c r="G401">
        <v>478</v>
      </c>
      <c r="H401" s="33">
        <v>441</v>
      </c>
      <c r="I401" s="33">
        <v>352</v>
      </c>
      <c r="J401" s="5">
        <v>243.42000000000002</v>
      </c>
      <c r="K401" s="40">
        <v>332500</v>
      </c>
      <c r="L401" s="45">
        <v>299.43333333329997</v>
      </c>
      <c r="M401" s="41">
        <v>11</v>
      </c>
      <c r="N401" s="32">
        <f>Rådatakommune[[#This Row],[B15-O]]/Rådatakommune[[#This Row],[Totalareal2015-O]]</f>
        <v>3.6315832717114449</v>
      </c>
      <c r="O401" s="34">
        <f>Rådatakommune[[#This Row],[B15-O]]/Rådatakommune[[#This Row],[B05-O]]-1</f>
        <v>-0.14424007744433687</v>
      </c>
      <c r="P401" s="34">
        <f>Rådatakommune[[#This Row],[Kvinner20-39-O]]/Rådatakommune[[#This Row],[B15-O]]</f>
        <v>9.3891402714932126E-2</v>
      </c>
      <c r="Q401" s="34">
        <f>Rådatakommune[[#This Row],[Eldre67+-O]]/Rådatakommune[[#This Row],[B15-O]]</f>
        <v>0.23416289592760181</v>
      </c>
      <c r="R401" s="34">
        <f>Rådatakommune[[#This Row],[S14-O]]/Rådatakommune[[#This Row],[S04-O]]-1</f>
        <v>-0.20181405895691606</v>
      </c>
      <c r="S401" s="34">
        <f>Rådatakommune[[#This Row],[Y14-O]]/Rådatakommune[[#This Row],[Folk20-64-O]]</f>
        <v>0.86401673640167365</v>
      </c>
    </row>
    <row r="402" spans="1:19" x14ac:dyDescent="0.25">
      <c r="A402" s="2" t="s">
        <v>400</v>
      </c>
      <c r="B402" s="37">
        <v>1014</v>
      </c>
      <c r="C402" s="36">
        <v>905</v>
      </c>
      <c r="D402" s="33">
        <v>462</v>
      </c>
      <c r="E402" s="38">
        <v>182</v>
      </c>
      <c r="F402" s="39">
        <v>101</v>
      </c>
      <c r="G402">
        <v>530</v>
      </c>
      <c r="H402" s="33">
        <v>398</v>
      </c>
      <c r="I402" s="33">
        <v>470</v>
      </c>
      <c r="J402" s="5">
        <v>293.89</v>
      </c>
      <c r="K402" s="40">
        <v>347400</v>
      </c>
      <c r="L402" s="45">
        <v>296.96666666670001</v>
      </c>
      <c r="M402" s="41">
        <v>11</v>
      </c>
      <c r="N402" s="32">
        <f>Rådatakommune[[#This Row],[B15-O]]/Rådatakommune[[#This Row],[Totalareal2015-O]]</f>
        <v>3.0793834427847155</v>
      </c>
      <c r="O402" s="34">
        <f>Rådatakommune[[#This Row],[B15-O]]/Rådatakommune[[#This Row],[B05-O]]-1</f>
        <v>-0.10749506903353057</v>
      </c>
      <c r="P402" s="34">
        <f>Rådatakommune[[#This Row],[Kvinner20-39-O]]/Rådatakommune[[#This Row],[B15-O]]</f>
        <v>0.11160220994475138</v>
      </c>
      <c r="Q402" s="34">
        <f>Rådatakommune[[#This Row],[Eldre67+-O]]/Rådatakommune[[#This Row],[B15-O]]</f>
        <v>0.20110497237569061</v>
      </c>
      <c r="R402" s="34">
        <f>Rådatakommune[[#This Row],[S14-O]]/Rådatakommune[[#This Row],[S04-O]]-1</f>
        <v>0.18090452261306522</v>
      </c>
      <c r="S402" s="34">
        <f>Rådatakommune[[#This Row],[Y14-O]]/Rådatakommune[[#This Row],[Folk20-64-O]]</f>
        <v>0.8716981132075472</v>
      </c>
    </row>
    <row r="403" spans="1:19" x14ac:dyDescent="0.25">
      <c r="A403" s="2" t="s">
        <v>401</v>
      </c>
      <c r="B403" s="37">
        <v>11035</v>
      </c>
      <c r="C403" s="36">
        <v>11535</v>
      </c>
      <c r="D403" s="33">
        <v>5585</v>
      </c>
      <c r="E403" s="38">
        <v>1753</v>
      </c>
      <c r="F403" s="39">
        <v>1277</v>
      </c>
      <c r="G403">
        <v>6452</v>
      </c>
      <c r="H403" s="33">
        <v>5420</v>
      </c>
      <c r="I403" s="33">
        <v>5922</v>
      </c>
      <c r="J403" s="5">
        <v>883.74</v>
      </c>
      <c r="K403" s="40">
        <v>359900</v>
      </c>
      <c r="L403" s="45">
        <v>247.85</v>
      </c>
      <c r="M403" s="41">
        <v>8</v>
      </c>
      <c r="N403" s="32">
        <f>Rådatakommune[[#This Row],[B15-O]]/Rådatakommune[[#This Row],[Totalareal2015-O]]</f>
        <v>13.052481499083441</v>
      </c>
      <c r="O403" s="34">
        <f>Rådatakommune[[#This Row],[B15-O]]/Rådatakommune[[#This Row],[B05-O]]-1</f>
        <v>4.5310376076121539E-2</v>
      </c>
      <c r="P403" s="34">
        <f>Rådatakommune[[#This Row],[Kvinner20-39-O]]/Rådatakommune[[#This Row],[B15-O]]</f>
        <v>0.11070654529692241</v>
      </c>
      <c r="Q403" s="34">
        <f>Rådatakommune[[#This Row],[Eldre67+-O]]/Rådatakommune[[#This Row],[B15-O]]</f>
        <v>0.15197225834416991</v>
      </c>
      <c r="R403" s="34">
        <f>Rådatakommune[[#This Row],[S14-O]]/Rådatakommune[[#This Row],[S04-O]]-1</f>
        <v>9.2619926199261959E-2</v>
      </c>
      <c r="S403" s="34">
        <f>Rådatakommune[[#This Row],[Y14-O]]/Rådatakommune[[#This Row],[Folk20-64-O]]</f>
        <v>0.865623062616243</v>
      </c>
    </row>
    <row r="404" spans="1:19" x14ac:dyDescent="0.25">
      <c r="A404" s="2" t="s">
        <v>402</v>
      </c>
      <c r="B404" s="37">
        <v>5560</v>
      </c>
      <c r="C404" s="36">
        <v>5720</v>
      </c>
      <c r="D404" s="33">
        <v>2731</v>
      </c>
      <c r="E404" s="38">
        <v>1154</v>
      </c>
      <c r="F404" s="39">
        <v>545</v>
      </c>
      <c r="G404">
        <v>3132</v>
      </c>
      <c r="H404" s="33">
        <v>2164</v>
      </c>
      <c r="I404" s="33">
        <v>2386</v>
      </c>
      <c r="J404" s="5">
        <v>1496.9199999999998</v>
      </c>
      <c r="K404" s="40">
        <v>339000</v>
      </c>
      <c r="L404" s="45">
        <v>250.21666666670001</v>
      </c>
      <c r="M404" s="41">
        <v>5</v>
      </c>
      <c r="N404" s="32">
        <f>Rådatakommune[[#This Row],[B15-O]]/Rådatakommune[[#This Row],[Totalareal2015-O]]</f>
        <v>3.8211794885498227</v>
      </c>
      <c r="O404" s="34">
        <f>Rådatakommune[[#This Row],[B15-O]]/Rådatakommune[[#This Row],[B05-O]]-1</f>
        <v>2.877697841726623E-2</v>
      </c>
      <c r="P404" s="34">
        <f>Rådatakommune[[#This Row],[Kvinner20-39-O]]/Rådatakommune[[#This Row],[B15-O]]</f>
        <v>9.5279720279720273E-2</v>
      </c>
      <c r="Q404" s="34">
        <f>Rådatakommune[[#This Row],[Eldre67+-O]]/Rådatakommune[[#This Row],[B15-O]]</f>
        <v>0.20174825174825176</v>
      </c>
      <c r="R404" s="34">
        <f>Rådatakommune[[#This Row],[S14-O]]/Rådatakommune[[#This Row],[S04-O]]-1</f>
        <v>0.10258780036968584</v>
      </c>
      <c r="S404" s="34">
        <f>Rådatakommune[[#This Row],[Y14-O]]/Rådatakommune[[#This Row],[Folk20-64-O]]</f>
        <v>0.87196679438058744</v>
      </c>
    </row>
    <row r="405" spans="1:19" x14ac:dyDescent="0.25">
      <c r="A405" s="2" t="s">
        <v>403</v>
      </c>
      <c r="B405" s="37">
        <v>2372</v>
      </c>
      <c r="C405" s="36">
        <v>2289</v>
      </c>
      <c r="D405" s="33">
        <v>1120</v>
      </c>
      <c r="E405" s="38">
        <v>492</v>
      </c>
      <c r="F405" s="39">
        <v>222</v>
      </c>
      <c r="G405">
        <v>1298</v>
      </c>
      <c r="H405" s="33">
        <v>910</v>
      </c>
      <c r="I405" s="33">
        <v>950</v>
      </c>
      <c r="J405" s="5">
        <v>1091.5900000000001</v>
      </c>
      <c r="K405" s="40">
        <v>335900</v>
      </c>
      <c r="L405" s="45">
        <v>260.81666666670003</v>
      </c>
      <c r="M405" s="41">
        <v>4</v>
      </c>
      <c r="N405" s="32">
        <f>Rådatakommune[[#This Row],[B15-O]]/Rådatakommune[[#This Row],[Totalareal2015-O]]</f>
        <v>2.0969411592264491</v>
      </c>
      <c r="O405" s="34">
        <f>Rådatakommune[[#This Row],[B15-O]]/Rådatakommune[[#This Row],[B05-O]]-1</f>
        <v>-3.499156829679595E-2</v>
      </c>
      <c r="P405" s="34">
        <f>Rådatakommune[[#This Row],[Kvinner20-39-O]]/Rådatakommune[[#This Row],[B15-O]]</f>
        <v>9.6985583224115338E-2</v>
      </c>
      <c r="Q405" s="34">
        <f>Rådatakommune[[#This Row],[Eldre67+-O]]/Rådatakommune[[#This Row],[B15-O]]</f>
        <v>0.21494102228047182</v>
      </c>
      <c r="R405" s="34">
        <f>Rådatakommune[[#This Row],[S14-O]]/Rådatakommune[[#This Row],[S04-O]]-1</f>
        <v>4.3956043956044022E-2</v>
      </c>
      <c r="S405" s="34">
        <f>Rådatakommune[[#This Row],[Y14-O]]/Rådatakommune[[#This Row],[Folk20-64-O]]</f>
        <v>0.86286594761171032</v>
      </c>
    </row>
    <row r="406" spans="1:19" x14ac:dyDescent="0.25">
      <c r="A406" s="2" t="s">
        <v>404</v>
      </c>
      <c r="B406" s="37">
        <v>3158</v>
      </c>
      <c r="C406" s="36">
        <v>2922</v>
      </c>
      <c r="D406" s="33">
        <v>1413</v>
      </c>
      <c r="E406" s="38">
        <v>630</v>
      </c>
      <c r="F406" s="39">
        <v>249</v>
      </c>
      <c r="G406">
        <v>1562</v>
      </c>
      <c r="H406" s="33">
        <v>1244</v>
      </c>
      <c r="I406" s="33">
        <v>1272</v>
      </c>
      <c r="J406" s="5">
        <v>812.56</v>
      </c>
      <c r="K406" s="40">
        <v>341300</v>
      </c>
      <c r="L406" s="45">
        <v>297.03333333329999</v>
      </c>
      <c r="M406" s="41">
        <v>11</v>
      </c>
      <c r="N406" s="32">
        <f>Rådatakommune[[#This Row],[B15-O]]/Rådatakommune[[#This Row],[Totalareal2015-O]]</f>
        <v>3.596042138426701</v>
      </c>
      <c r="O406" s="34">
        <f>Rådatakommune[[#This Row],[B15-O]]/Rådatakommune[[#This Row],[B05-O]]-1</f>
        <v>-7.4730842305256506E-2</v>
      </c>
      <c r="P406" s="34">
        <f>Rådatakommune[[#This Row],[Kvinner20-39-O]]/Rådatakommune[[#This Row],[B15-O]]</f>
        <v>8.5215605749486653E-2</v>
      </c>
      <c r="Q406" s="34">
        <f>Rådatakommune[[#This Row],[Eldre67+-O]]/Rådatakommune[[#This Row],[B15-O]]</f>
        <v>0.21560574948665298</v>
      </c>
      <c r="R406" s="34">
        <f>Rådatakommune[[#This Row],[S14-O]]/Rådatakommune[[#This Row],[S04-O]]-1</f>
        <v>2.2508038585209E-2</v>
      </c>
      <c r="S406" s="34">
        <f>Rådatakommune[[#This Row],[Y14-O]]/Rådatakommune[[#This Row],[Folk20-64-O]]</f>
        <v>0.90460947503201028</v>
      </c>
    </row>
    <row r="407" spans="1:19" x14ac:dyDescent="0.25">
      <c r="A407" s="2" t="s">
        <v>405</v>
      </c>
      <c r="B407" s="37">
        <v>1934</v>
      </c>
      <c r="C407" s="36">
        <v>1898</v>
      </c>
      <c r="D407" s="33">
        <v>935</v>
      </c>
      <c r="E407" s="38">
        <v>307</v>
      </c>
      <c r="F407" s="39">
        <v>186</v>
      </c>
      <c r="G407">
        <v>1081</v>
      </c>
      <c r="H407" s="33">
        <v>657</v>
      </c>
      <c r="I407" s="33">
        <v>742</v>
      </c>
      <c r="J407" s="5">
        <v>1542.83</v>
      </c>
      <c r="K407" s="40">
        <v>328400</v>
      </c>
      <c r="L407" s="45">
        <v>275.55</v>
      </c>
      <c r="M407" s="41">
        <v>10</v>
      </c>
      <c r="N407" s="32">
        <f>Rådatakommune[[#This Row],[B15-O]]/Rådatakommune[[#This Row],[Totalareal2015-O]]</f>
        <v>1.2302068277127098</v>
      </c>
      <c r="O407" s="34">
        <f>Rådatakommune[[#This Row],[B15-O]]/Rådatakommune[[#This Row],[B05-O]]-1</f>
        <v>-1.8614270941054833E-2</v>
      </c>
      <c r="P407" s="34">
        <f>Rådatakommune[[#This Row],[Kvinner20-39-O]]/Rådatakommune[[#This Row],[B15-O]]</f>
        <v>9.799789251844046E-2</v>
      </c>
      <c r="Q407" s="34">
        <f>Rådatakommune[[#This Row],[Eldre67+-O]]/Rådatakommune[[#This Row],[B15-O]]</f>
        <v>0.16174920969441517</v>
      </c>
      <c r="R407" s="34">
        <f>Rådatakommune[[#This Row],[S14-O]]/Rådatakommune[[#This Row],[S04-O]]-1</f>
        <v>0.12937595129375956</v>
      </c>
      <c r="S407" s="34">
        <f>Rådatakommune[[#This Row],[Y14-O]]/Rådatakommune[[#This Row],[Folk20-64-O]]</f>
        <v>0.86493987049028676</v>
      </c>
    </row>
    <row r="408" spans="1:19" x14ac:dyDescent="0.25">
      <c r="A408" s="2" t="s">
        <v>406</v>
      </c>
      <c r="B408" s="37">
        <v>2288</v>
      </c>
      <c r="C408" s="36">
        <v>2182</v>
      </c>
      <c r="D408" s="33">
        <v>1032</v>
      </c>
      <c r="E408" s="38">
        <v>468</v>
      </c>
      <c r="F408" s="39">
        <v>205</v>
      </c>
      <c r="G408">
        <v>1215</v>
      </c>
      <c r="H408" s="33">
        <v>669</v>
      </c>
      <c r="I408" s="33">
        <v>736</v>
      </c>
      <c r="J408" s="5">
        <v>991.18000000000006</v>
      </c>
      <c r="K408" s="40">
        <v>306100</v>
      </c>
      <c r="L408" s="45">
        <v>297.56666666670003</v>
      </c>
      <c r="M408" s="41">
        <v>11</v>
      </c>
      <c r="N408" s="32">
        <f>Rådatakommune[[#This Row],[B15-O]]/Rådatakommune[[#This Row],[Totalareal2015-O]]</f>
        <v>2.2014164934724265</v>
      </c>
      <c r="O408" s="34">
        <f>Rådatakommune[[#This Row],[B15-O]]/Rådatakommune[[#This Row],[B05-O]]-1</f>
        <v>-4.6328671328671356E-2</v>
      </c>
      <c r="P408" s="34">
        <f>Rådatakommune[[#This Row],[Kvinner20-39-O]]/Rådatakommune[[#This Row],[B15-O]]</f>
        <v>9.3950504124656276E-2</v>
      </c>
      <c r="Q408" s="34">
        <f>Rådatakommune[[#This Row],[Eldre67+-O]]/Rådatakommune[[#This Row],[B15-O]]</f>
        <v>0.21448212648945922</v>
      </c>
      <c r="R408" s="34">
        <f>Rådatakommune[[#This Row],[S14-O]]/Rådatakommune[[#This Row],[S04-O]]-1</f>
        <v>0.1001494768310911</v>
      </c>
      <c r="S408" s="34">
        <f>Rådatakommune[[#This Row],[Y14-O]]/Rådatakommune[[#This Row],[Folk20-64-O]]</f>
        <v>0.84938271604938276</v>
      </c>
    </row>
    <row r="409" spans="1:19" x14ac:dyDescent="0.25">
      <c r="A409" s="2" t="s">
        <v>407</v>
      </c>
      <c r="B409" s="37">
        <v>3003</v>
      </c>
      <c r="C409" s="36">
        <v>2895</v>
      </c>
      <c r="D409" s="33">
        <v>1405</v>
      </c>
      <c r="E409" s="38">
        <v>536</v>
      </c>
      <c r="F409" s="39">
        <v>325</v>
      </c>
      <c r="G409">
        <v>1609</v>
      </c>
      <c r="H409" s="33">
        <v>1336</v>
      </c>
      <c r="I409" s="33">
        <v>1371</v>
      </c>
      <c r="J409" s="5">
        <v>473.7</v>
      </c>
      <c r="K409" s="40">
        <v>333400</v>
      </c>
      <c r="L409" s="45">
        <v>295.8333333333</v>
      </c>
      <c r="M409" s="41">
        <v>9</v>
      </c>
      <c r="N409" s="32">
        <f>Rådatakommune[[#This Row],[B15-O]]/Rådatakommune[[#This Row],[Totalareal2015-O]]</f>
        <v>6.1114629512349588</v>
      </c>
      <c r="O409" s="34">
        <f>Rådatakommune[[#This Row],[B15-O]]/Rådatakommune[[#This Row],[B05-O]]-1</f>
        <v>-3.5964035964035967E-2</v>
      </c>
      <c r="P409" s="34">
        <f>Rådatakommune[[#This Row],[Kvinner20-39-O]]/Rådatakommune[[#This Row],[B15-O]]</f>
        <v>0.11226252158894647</v>
      </c>
      <c r="Q409" s="34">
        <f>Rådatakommune[[#This Row],[Eldre67+-O]]/Rådatakommune[[#This Row],[B15-O]]</f>
        <v>0.18514680483592399</v>
      </c>
      <c r="R409" s="34">
        <f>Rådatakommune[[#This Row],[S14-O]]/Rådatakommune[[#This Row],[S04-O]]-1</f>
        <v>2.6197604790419105E-2</v>
      </c>
      <c r="S409" s="34">
        <f>Rådatakommune[[#This Row],[Y14-O]]/Rådatakommune[[#This Row],[Folk20-64-O]]</f>
        <v>0.87321317588564329</v>
      </c>
    </row>
    <row r="410" spans="1:19" x14ac:dyDescent="0.25">
      <c r="A410" s="2" t="s">
        <v>408</v>
      </c>
      <c r="B410" s="37">
        <v>4744</v>
      </c>
      <c r="C410" s="36">
        <v>4882</v>
      </c>
      <c r="D410" s="33">
        <v>2468</v>
      </c>
      <c r="E410" s="38">
        <v>821</v>
      </c>
      <c r="F410" s="39">
        <v>547</v>
      </c>
      <c r="G410">
        <v>2745</v>
      </c>
      <c r="H410" s="33">
        <v>2020</v>
      </c>
      <c r="I410" s="33">
        <v>2201</v>
      </c>
      <c r="J410" s="5">
        <v>3437.46</v>
      </c>
      <c r="K410" s="40">
        <v>349900</v>
      </c>
      <c r="L410" s="45">
        <v>264.38333333333003</v>
      </c>
      <c r="M410" s="41">
        <v>9</v>
      </c>
      <c r="N410" s="32">
        <f>Rådatakommune[[#This Row],[B15-O]]/Rådatakommune[[#This Row],[Totalareal2015-O]]</f>
        <v>1.4202347081856952</v>
      </c>
      <c r="O410" s="34">
        <f>Rådatakommune[[#This Row],[B15-O]]/Rådatakommune[[#This Row],[B05-O]]-1</f>
        <v>2.9089376053963001E-2</v>
      </c>
      <c r="P410" s="34">
        <f>Rådatakommune[[#This Row],[Kvinner20-39-O]]/Rådatakommune[[#This Row],[B15-O]]</f>
        <v>0.11204424416222859</v>
      </c>
      <c r="Q410" s="34">
        <f>Rådatakommune[[#This Row],[Eldre67+-O]]/Rådatakommune[[#This Row],[B15-O]]</f>
        <v>0.16816878328553872</v>
      </c>
      <c r="R410" s="34">
        <f>Rådatakommune[[#This Row],[S14-O]]/Rådatakommune[[#This Row],[S04-O]]-1</f>
        <v>8.9603960396039684E-2</v>
      </c>
      <c r="S410" s="34">
        <f>Rådatakommune[[#This Row],[Y14-O]]/Rådatakommune[[#This Row],[Folk20-64-O]]</f>
        <v>0.89908925318761379</v>
      </c>
    </row>
    <row r="411" spans="1:19" x14ac:dyDescent="0.25">
      <c r="A411" s="2" t="s">
        <v>409</v>
      </c>
      <c r="B411" s="37">
        <v>1401</v>
      </c>
      <c r="C411" s="36">
        <v>1226</v>
      </c>
      <c r="D411" s="33">
        <v>547</v>
      </c>
      <c r="E411" s="38">
        <v>278</v>
      </c>
      <c r="F411" s="39">
        <v>111</v>
      </c>
      <c r="G411">
        <v>656</v>
      </c>
      <c r="H411" s="33">
        <v>519</v>
      </c>
      <c r="I411" s="33">
        <v>449</v>
      </c>
      <c r="J411" s="5">
        <v>2109.4700000000003</v>
      </c>
      <c r="K411" s="40">
        <v>324700</v>
      </c>
      <c r="L411" s="45">
        <v>292.60000000000002</v>
      </c>
      <c r="M411" s="41">
        <v>11</v>
      </c>
      <c r="N411" s="32">
        <f>Rådatakommune[[#This Row],[B15-O]]/Rådatakommune[[#This Row],[Totalareal2015-O]]</f>
        <v>0.58118863980051849</v>
      </c>
      <c r="O411" s="34">
        <f>Rådatakommune[[#This Row],[B15-O]]/Rådatakommune[[#This Row],[B05-O]]-1</f>
        <v>-0.12491077801570305</v>
      </c>
      <c r="P411" s="34">
        <f>Rådatakommune[[#This Row],[Kvinner20-39-O]]/Rådatakommune[[#This Row],[B15-O]]</f>
        <v>9.0538336052202281E-2</v>
      </c>
      <c r="Q411" s="34">
        <f>Rådatakommune[[#This Row],[Eldre67+-O]]/Rådatakommune[[#This Row],[B15-O]]</f>
        <v>0.2267536704730832</v>
      </c>
      <c r="R411" s="34">
        <f>Rådatakommune[[#This Row],[S14-O]]/Rådatakommune[[#This Row],[S04-O]]-1</f>
        <v>-0.13487475915221581</v>
      </c>
      <c r="S411" s="34">
        <f>Rådatakommune[[#This Row],[Y14-O]]/Rådatakommune[[#This Row],[Folk20-64-O]]</f>
        <v>0.83384146341463417</v>
      </c>
    </row>
    <row r="412" spans="1:19" x14ac:dyDescent="0.25">
      <c r="A412" s="2" t="s">
        <v>410</v>
      </c>
      <c r="B412" s="37">
        <v>2366</v>
      </c>
      <c r="C412" s="36">
        <v>2128</v>
      </c>
      <c r="D412" s="33">
        <v>1012</v>
      </c>
      <c r="E412" s="38">
        <v>400</v>
      </c>
      <c r="F412" s="39">
        <v>209</v>
      </c>
      <c r="G412">
        <v>1275</v>
      </c>
      <c r="H412" s="33">
        <v>895</v>
      </c>
      <c r="I412" s="33">
        <v>927</v>
      </c>
      <c r="J412" s="5">
        <v>600.61</v>
      </c>
      <c r="K412" s="40">
        <v>332500</v>
      </c>
      <c r="L412" s="45">
        <v>277.06666666667002</v>
      </c>
      <c r="M412" s="41">
        <v>11</v>
      </c>
      <c r="N412" s="32">
        <f>Rådatakommune[[#This Row],[B15-O]]/Rådatakommune[[#This Row],[Totalareal2015-O]]</f>
        <v>3.5430645510397762</v>
      </c>
      <c r="O412" s="34">
        <f>Rådatakommune[[#This Row],[B15-O]]/Rådatakommune[[#This Row],[B05-O]]-1</f>
        <v>-0.10059171597633132</v>
      </c>
      <c r="P412" s="34">
        <f>Rådatakommune[[#This Row],[Kvinner20-39-O]]/Rådatakommune[[#This Row],[B15-O]]</f>
        <v>9.8214285714285712E-2</v>
      </c>
      <c r="Q412" s="34">
        <f>Rådatakommune[[#This Row],[Eldre67+-O]]/Rådatakommune[[#This Row],[B15-O]]</f>
        <v>0.18796992481203006</v>
      </c>
      <c r="R412" s="34">
        <f>Rådatakommune[[#This Row],[S14-O]]/Rådatakommune[[#This Row],[S04-O]]-1</f>
        <v>3.5754189944134041E-2</v>
      </c>
      <c r="S412" s="34">
        <f>Rådatakommune[[#This Row],[Y14-O]]/Rådatakommune[[#This Row],[Folk20-64-O]]</f>
        <v>0.79372549019607841</v>
      </c>
    </row>
    <row r="413" spans="1:19" x14ac:dyDescent="0.25">
      <c r="A413" s="2" t="s">
        <v>411</v>
      </c>
      <c r="B413" s="37">
        <v>6181</v>
      </c>
      <c r="C413" s="36">
        <v>6239</v>
      </c>
      <c r="D413" s="33">
        <v>3034</v>
      </c>
      <c r="E413" s="38">
        <v>864</v>
      </c>
      <c r="F413" s="39">
        <v>702</v>
      </c>
      <c r="G413">
        <v>3624</v>
      </c>
      <c r="H413" s="33">
        <v>3198</v>
      </c>
      <c r="I413" s="33">
        <v>3009</v>
      </c>
      <c r="J413" s="5">
        <v>1257.6400000000001</v>
      </c>
      <c r="K413" s="40">
        <v>361600</v>
      </c>
      <c r="L413" s="45">
        <v>311.2</v>
      </c>
      <c r="M413" s="41">
        <v>7</v>
      </c>
      <c r="N413" s="32">
        <f>Rådatakommune[[#This Row],[B15-O]]/Rådatakommune[[#This Row],[Totalareal2015-O]]</f>
        <v>4.9608791068986351</v>
      </c>
      <c r="O413" s="34">
        <f>Rådatakommune[[#This Row],[B15-O]]/Rådatakommune[[#This Row],[B05-O]]-1</f>
        <v>9.3835948875586883E-3</v>
      </c>
      <c r="P413" s="34">
        <f>Rådatakommune[[#This Row],[Kvinner20-39-O]]/Rådatakommune[[#This Row],[B15-O]]</f>
        <v>0.1125180317358551</v>
      </c>
      <c r="Q413" s="34">
        <f>Rådatakommune[[#This Row],[Eldre67+-O]]/Rådatakommune[[#This Row],[B15-O]]</f>
        <v>0.13848373136720629</v>
      </c>
      <c r="R413" s="34">
        <f>Rådatakommune[[#This Row],[S14-O]]/Rådatakommune[[#This Row],[S04-O]]-1</f>
        <v>-5.9099437148217637E-2</v>
      </c>
      <c r="S413" s="34">
        <f>Rådatakommune[[#This Row],[Y14-O]]/Rådatakommune[[#This Row],[Folk20-64-O]]</f>
        <v>0.83719646799116998</v>
      </c>
    </row>
    <row r="414" spans="1:19" x14ac:dyDescent="0.25">
      <c r="A414" s="2" t="s">
        <v>412</v>
      </c>
      <c r="B414" s="37">
        <v>9261</v>
      </c>
      <c r="C414" s="36">
        <v>10417</v>
      </c>
      <c r="D414" s="33">
        <v>5715</v>
      </c>
      <c r="E414" s="38">
        <v>1244</v>
      </c>
      <c r="F414" s="39">
        <v>1398</v>
      </c>
      <c r="G414">
        <v>6384</v>
      </c>
      <c r="H414" s="33">
        <v>5261</v>
      </c>
      <c r="I414" s="33">
        <v>5863</v>
      </c>
      <c r="J414" s="5">
        <v>848.2</v>
      </c>
      <c r="K414" s="40">
        <v>408600</v>
      </c>
      <c r="L414" s="45">
        <v>281.23333333332999</v>
      </c>
      <c r="M414" s="41">
        <v>6</v>
      </c>
      <c r="N414" s="32">
        <f>Rådatakommune[[#This Row],[B15-O]]/Rådatakommune[[#This Row],[Totalareal2015-O]]</f>
        <v>12.281301579816081</v>
      </c>
      <c r="O414" s="34">
        <f>Rådatakommune[[#This Row],[B15-O]]/Rådatakommune[[#This Row],[B05-O]]-1</f>
        <v>0.12482453298779839</v>
      </c>
      <c r="P414" s="34">
        <f>Rådatakommune[[#This Row],[Kvinner20-39-O]]/Rådatakommune[[#This Row],[B15-O]]</f>
        <v>0.1342037054814246</v>
      </c>
      <c r="Q414" s="34">
        <f>Rådatakommune[[#This Row],[Eldre67+-O]]/Rådatakommune[[#This Row],[B15-O]]</f>
        <v>0.11942017855428626</v>
      </c>
      <c r="R414" s="34">
        <f>Rådatakommune[[#This Row],[S14-O]]/Rådatakommune[[#This Row],[S04-O]]-1</f>
        <v>0.11442691503516444</v>
      </c>
      <c r="S414" s="34">
        <f>Rådatakommune[[#This Row],[Y14-O]]/Rådatakommune[[#This Row],[Folk20-64-O]]</f>
        <v>0.89520676691729328</v>
      </c>
    </row>
    <row r="415" spans="1:19" x14ac:dyDescent="0.25">
      <c r="A415" s="2" t="s">
        <v>413</v>
      </c>
      <c r="B415" s="37">
        <v>2997</v>
      </c>
      <c r="C415" s="36">
        <v>2914</v>
      </c>
      <c r="D415" s="33">
        <v>1486</v>
      </c>
      <c r="E415" s="38">
        <v>360</v>
      </c>
      <c r="F415" s="39">
        <v>356</v>
      </c>
      <c r="G415">
        <v>1752</v>
      </c>
      <c r="H415" s="33">
        <v>1301</v>
      </c>
      <c r="I415" s="33">
        <v>1320</v>
      </c>
      <c r="J415" s="5">
        <v>9707.34</v>
      </c>
      <c r="K415" s="40">
        <v>296500</v>
      </c>
      <c r="L415" s="45">
        <v>315.68333333300001</v>
      </c>
      <c r="M415" s="41">
        <v>11</v>
      </c>
      <c r="N415" s="32">
        <f>Rådatakommune[[#This Row],[B15-O]]/Rådatakommune[[#This Row],[Totalareal2015-O]]</f>
        <v>0.30018522066807179</v>
      </c>
      <c r="O415" s="34">
        <f>Rådatakommune[[#This Row],[B15-O]]/Rådatakommune[[#This Row],[B05-O]]-1</f>
        <v>-2.7694361027694403E-2</v>
      </c>
      <c r="P415" s="34">
        <f>Rådatakommune[[#This Row],[Kvinner20-39-O]]/Rådatakommune[[#This Row],[B15-O]]</f>
        <v>0.12216884008236102</v>
      </c>
      <c r="Q415" s="34">
        <f>Rådatakommune[[#This Row],[Eldre67+-O]]/Rådatakommune[[#This Row],[B15-O]]</f>
        <v>0.12354152367879204</v>
      </c>
      <c r="R415" s="34">
        <f>Rådatakommune[[#This Row],[S14-O]]/Rådatakommune[[#This Row],[S04-O]]-1</f>
        <v>1.4604150653343639E-2</v>
      </c>
      <c r="S415" s="34">
        <f>Rådatakommune[[#This Row],[Y14-O]]/Rådatakommune[[#This Row],[Folk20-64-O]]</f>
        <v>0.84817351598173518</v>
      </c>
    </row>
    <row r="416" spans="1:19" x14ac:dyDescent="0.25">
      <c r="A416" s="2" t="s">
        <v>414</v>
      </c>
      <c r="B416" s="37">
        <v>17628</v>
      </c>
      <c r="C416" s="36">
        <v>19898</v>
      </c>
      <c r="D416" s="33">
        <v>10114</v>
      </c>
      <c r="E416" s="38">
        <v>2133</v>
      </c>
      <c r="F416" s="39">
        <v>2552</v>
      </c>
      <c r="G416">
        <v>11745</v>
      </c>
      <c r="H416" s="33">
        <v>8554</v>
      </c>
      <c r="I416" s="33">
        <v>10264</v>
      </c>
      <c r="J416" s="5">
        <v>3849.43</v>
      </c>
      <c r="K416" s="40">
        <v>371700</v>
      </c>
      <c r="L416" s="45">
        <v>219.48333333332999</v>
      </c>
      <c r="M416" s="41">
        <v>6</v>
      </c>
      <c r="N416" s="32">
        <f>Rådatakommune[[#This Row],[B15-O]]/Rådatakommune[[#This Row],[Totalareal2015-O]]</f>
        <v>5.1690769802282421</v>
      </c>
      <c r="O416" s="34">
        <f>Rådatakommune[[#This Row],[B15-O]]/Rådatakommune[[#This Row],[B05-O]]-1</f>
        <v>0.12877240753346952</v>
      </c>
      <c r="P416" s="34">
        <f>Rådatakommune[[#This Row],[Kvinner20-39-O]]/Rådatakommune[[#This Row],[B15-O]]</f>
        <v>0.12825409588903408</v>
      </c>
      <c r="Q416" s="34">
        <f>Rådatakommune[[#This Row],[Eldre67+-O]]/Rådatakommune[[#This Row],[B15-O]]</f>
        <v>0.10719670318624988</v>
      </c>
      <c r="R416" s="34">
        <f>Rådatakommune[[#This Row],[S14-O]]/Rådatakommune[[#This Row],[S04-O]]-1</f>
        <v>0.19990647650222115</v>
      </c>
      <c r="S416" s="34">
        <f>Rådatakommune[[#This Row],[Y14-O]]/Rådatakommune[[#This Row],[Folk20-64-O]]</f>
        <v>0.86113239676458064</v>
      </c>
    </row>
    <row r="417" spans="1:19" x14ac:dyDescent="0.25">
      <c r="A417" s="2" t="s">
        <v>415</v>
      </c>
      <c r="B417" s="37">
        <v>1266</v>
      </c>
      <c r="C417" s="36">
        <v>989</v>
      </c>
      <c r="D417" s="33">
        <v>462</v>
      </c>
      <c r="E417" s="38">
        <v>243</v>
      </c>
      <c r="F417" s="39">
        <v>82</v>
      </c>
      <c r="G417">
        <v>532</v>
      </c>
      <c r="H417" s="33">
        <v>457</v>
      </c>
      <c r="I417" s="33">
        <v>380</v>
      </c>
      <c r="J417" s="5">
        <v>688.87</v>
      </c>
      <c r="K417" s="40">
        <v>325100</v>
      </c>
      <c r="L417" s="45">
        <v>311.8</v>
      </c>
      <c r="M417" s="41">
        <v>11</v>
      </c>
      <c r="N417" s="32">
        <f>Rådatakommune[[#This Row],[B15-O]]/Rådatakommune[[#This Row],[Totalareal2015-O]]</f>
        <v>1.4356845268338003</v>
      </c>
      <c r="O417" s="34">
        <f>Rådatakommune[[#This Row],[B15-O]]/Rådatakommune[[#This Row],[B05-O]]-1</f>
        <v>-0.21879936808846756</v>
      </c>
      <c r="P417" s="34">
        <f>Rådatakommune[[#This Row],[Kvinner20-39-O]]/Rådatakommune[[#This Row],[B15-O]]</f>
        <v>8.2912032355915072E-2</v>
      </c>
      <c r="Q417" s="34">
        <f>Rådatakommune[[#This Row],[Eldre67+-O]]/Rådatakommune[[#This Row],[B15-O]]</f>
        <v>0.24570273003033366</v>
      </c>
      <c r="R417" s="34">
        <f>Rådatakommune[[#This Row],[S14-O]]/Rådatakommune[[#This Row],[S04-O]]-1</f>
        <v>-0.16849015317286653</v>
      </c>
      <c r="S417" s="34">
        <f>Rådatakommune[[#This Row],[Y14-O]]/Rådatakommune[[#This Row],[Folk20-64-O]]</f>
        <v>0.86842105263157898</v>
      </c>
    </row>
    <row r="418" spans="1:19" x14ac:dyDescent="0.25">
      <c r="A418" s="2" t="s">
        <v>416</v>
      </c>
      <c r="B418" s="37">
        <v>1049</v>
      </c>
      <c r="C418" s="36">
        <v>1041</v>
      </c>
      <c r="D418" s="33">
        <v>483</v>
      </c>
      <c r="E418" s="38">
        <v>183</v>
      </c>
      <c r="F418" s="39">
        <v>96</v>
      </c>
      <c r="G418">
        <v>612</v>
      </c>
      <c r="H418" s="33">
        <v>376</v>
      </c>
      <c r="I418" s="33">
        <v>427</v>
      </c>
      <c r="J418" s="5">
        <v>555.54999999999995</v>
      </c>
      <c r="K418" s="40">
        <v>316500</v>
      </c>
      <c r="L418" s="45">
        <v>280.55</v>
      </c>
      <c r="M418" s="41">
        <v>11</v>
      </c>
      <c r="N418" s="32">
        <f>Rådatakommune[[#This Row],[B15-O]]/Rådatakommune[[#This Row],[Totalareal2015-O]]</f>
        <v>1.8738187381873821</v>
      </c>
      <c r="O418" s="34">
        <f>Rådatakommune[[#This Row],[B15-O]]/Rådatakommune[[#This Row],[B05-O]]-1</f>
        <v>-7.6263107721639134E-3</v>
      </c>
      <c r="P418" s="34">
        <f>Rådatakommune[[#This Row],[Kvinner20-39-O]]/Rådatakommune[[#This Row],[B15-O]]</f>
        <v>9.2219020172910657E-2</v>
      </c>
      <c r="Q418" s="34">
        <f>Rådatakommune[[#This Row],[Eldre67+-O]]/Rådatakommune[[#This Row],[B15-O]]</f>
        <v>0.17579250720461095</v>
      </c>
      <c r="R418" s="34">
        <f>Rådatakommune[[#This Row],[S14-O]]/Rådatakommune[[#This Row],[S04-O]]-1</f>
        <v>0.1356382978723405</v>
      </c>
      <c r="S418" s="34">
        <f>Rådatakommune[[#This Row],[Y14-O]]/Rådatakommune[[#This Row],[Folk20-64-O]]</f>
        <v>0.78921568627450978</v>
      </c>
    </row>
    <row r="419" spans="1:19" x14ac:dyDescent="0.25">
      <c r="A419" s="2" t="s">
        <v>417</v>
      </c>
      <c r="B419" s="37">
        <v>1080</v>
      </c>
      <c r="C419" s="36">
        <v>1049</v>
      </c>
      <c r="D419" s="33">
        <v>469</v>
      </c>
      <c r="E419" s="38">
        <v>251</v>
      </c>
      <c r="F419" s="39">
        <v>86</v>
      </c>
      <c r="G419">
        <v>559</v>
      </c>
      <c r="H419" s="33">
        <v>341</v>
      </c>
      <c r="I419" s="33">
        <v>364</v>
      </c>
      <c r="J419" s="5">
        <v>1844.29</v>
      </c>
      <c r="K419" s="40">
        <v>349700</v>
      </c>
      <c r="L419" s="45">
        <v>298.0833333333</v>
      </c>
      <c r="M419" s="41">
        <v>6</v>
      </c>
      <c r="N419" s="32">
        <f>Rådatakommune[[#This Row],[B15-O]]/Rådatakommune[[#This Row],[Totalareal2015-O]]</f>
        <v>0.56878256673299754</v>
      </c>
      <c r="O419" s="34">
        <f>Rådatakommune[[#This Row],[B15-O]]/Rådatakommune[[#This Row],[B05-O]]-1</f>
        <v>-2.8703703703703676E-2</v>
      </c>
      <c r="P419" s="34">
        <f>Rådatakommune[[#This Row],[Kvinner20-39-O]]/Rådatakommune[[#This Row],[B15-O]]</f>
        <v>8.1982840800762624E-2</v>
      </c>
      <c r="Q419" s="34">
        <f>Rådatakommune[[#This Row],[Eldre67+-O]]/Rådatakommune[[#This Row],[B15-O]]</f>
        <v>0.23927550047664442</v>
      </c>
      <c r="R419" s="34">
        <f>Rådatakommune[[#This Row],[S14-O]]/Rådatakommune[[#This Row],[S04-O]]-1</f>
        <v>6.7448680351906098E-2</v>
      </c>
      <c r="S419" s="34">
        <f>Rådatakommune[[#This Row],[Y14-O]]/Rådatakommune[[#This Row],[Folk20-64-O]]</f>
        <v>0.83899821109123429</v>
      </c>
    </row>
    <row r="420" spans="1:19" x14ac:dyDescent="0.25">
      <c r="A420" s="2" t="s">
        <v>418</v>
      </c>
      <c r="B420" s="37">
        <v>1393</v>
      </c>
      <c r="C420" s="36">
        <v>1241</v>
      </c>
      <c r="D420" s="33">
        <v>570</v>
      </c>
      <c r="E420" s="38">
        <v>266</v>
      </c>
      <c r="F420" s="39">
        <v>125</v>
      </c>
      <c r="G420">
        <v>703</v>
      </c>
      <c r="H420" s="33">
        <v>584</v>
      </c>
      <c r="I420" s="33">
        <v>518</v>
      </c>
      <c r="J420" s="5">
        <v>1135.82</v>
      </c>
      <c r="K420" s="40">
        <v>341400</v>
      </c>
      <c r="L420" s="45">
        <v>361.16666666699996</v>
      </c>
      <c r="M420" s="41">
        <v>11</v>
      </c>
      <c r="N420" s="32">
        <f>Rådatakommune[[#This Row],[B15-O]]/Rådatakommune[[#This Row],[Totalareal2015-O]]</f>
        <v>1.0926027011322217</v>
      </c>
      <c r="O420" s="34">
        <f>Rådatakommune[[#This Row],[B15-O]]/Rådatakommune[[#This Row],[B05-O]]-1</f>
        <v>-0.10911701363962667</v>
      </c>
      <c r="P420" s="34">
        <f>Rådatakommune[[#This Row],[Kvinner20-39-O]]/Rådatakommune[[#This Row],[B15-O]]</f>
        <v>0.10072522159548751</v>
      </c>
      <c r="Q420" s="34">
        <f>Rådatakommune[[#This Row],[Eldre67+-O]]/Rådatakommune[[#This Row],[B15-O]]</f>
        <v>0.21434327155519742</v>
      </c>
      <c r="R420" s="34">
        <f>Rådatakommune[[#This Row],[S14-O]]/Rådatakommune[[#This Row],[S04-O]]-1</f>
        <v>-0.11301369863013699</v>
      </c>
      <c r="S420" s="34">
        <f>Rådatakommune[[#This Row],[Y14-O]]/Rådatakommune[[#This Row],[Folk20-64-O]]</f>
        <v>0.81081081081081086</v>
      </c>
    </row>
    <row r="421" spans="1:19" x14ac:dyDescent="0.25">
      <c r="A421" s="2" t="s">
        <v>419</v>
      </c>
      <c r="B421" s="37">
        <v>3415</v>
      </c>
      <c r="C421" s="36">
        <v>3278</v>
      </c>
      <c r="D421" s="33">
        <v>1588</v>
      </c>
      <c r="E421" s="38">
        <v>530</v>
      </c>
      <c r="F421" s="39">
        <v>353</v>
      </c>
      <c r="G421">
        <v>1932</v>
      </c>
      <c r="H421" s="33">
        <v>1437</v>
      </c>
      <c r="I421" s="33">
        <v>1475</v>
      </c>
      <c r="J421" s="5">
        <v>925.68000000000006</v>
      </c>
      <c r="K421" s="40">
        <v>361700</v>
      </c>
      <c r="L421" s="45">
        <v>331.65</v>
      </c>
      <c r="M421" s="41">
        <v>9</v>
      </c>
      <c r="N421" s="32">
        <f>Rådatakommune[[#This Row],[B15-O]]/Rådatakommune[[#This Row],[Totalareal2015-O]]</f>
        <v>3.5411805375507734</v>
      </c>
      <c r="O421" s="34">
        <f>Rådatakommune[[#This Row],[B15-O]]/Rådatakommune[[#This Row],[B05-O]]-1</f>
        <v>-4.0117130307467108E-2</v>
      </c>
      <c r="P421" s="34">
        <f>Rådatakommune[[#This Row],[Kvinner20-39-O]]/Rådatakommune[[#This Row],[B15-O]]</f>
        <v>0.1076876143990238</v>
      </c>
      <c r="Q421" s="34">
        <f>Rådatakommune[[#This Row],[Eldre67+-O]]/Rådatakommune[[#This Row],[B15-O]]</f>
        <v>0.16168395363026236</v>
      </c>
      <c r="R421" s="34">
        <f>Rådatakommune[[#This Row],[S14-O]]/Rådatakommune[[#This Row],[S04-O]]-1</f>
        <v>2.6443980514961662E-2</v>
      </c>
      <c r="S421" s="34">
        <f>Rådatakommune[[#This Row],[Y14-O]]/Rådatakommune[[#This Row],[Folk20-64-O]]</f>
        <v>0.82194616977225676</v>
      </c>
    </row>
    <row r="422" spans="1:19" x14ac:dyDescent="0.25">
      <c r="A422" s="2" t="s">
        <v>420</v>
      </c>
      <c r="B422" s="37">
        <v>4299</v>
      </c>
      <c r="C422" s="36">
        <v>3925</v>
      </c>
      <c r="D422" s="33">
        <v>2000</v>
      </c>
      <c r="E422" s="38">
        <v>632</v>
      </c>
      <c r="F422" s="39">
        <v>414</v>
      </c>
      <c r="G422">
        <v>2320</v>
      </c>
      <c r="H422" s="33">
        <v>1976</v>
      </c>
      <c r="I422" s="33">
        <v>1900</v>
      </c>
      <c r="J422" s="5">
        <v>4872.58</v>
      </c>
      <c r="K422" s="40">
        <v>357100</v>
      </c>
      <c r="L422" s="45">
        <v>281.73333333332999</v>
      </c>
      <c r="M422" s="41">
        <v>9</v>
      </c>
      <c r="N422" s="32">
        <f>Rådatakommune[[#This Row],[B15-O]]/Rådatakommune[[#This Row],[Totalareal2015-O]]</f>
        <v>0.80552807752771638</v>
      </c>
      <c r="O422" s="34">
        <f>Rådatakommune[[#This Row],[B15-O]]/Rådatakommune[[#This Row],[B05-O]]-1</f>
        <v>-8.69969760409397E-2</v>
      </c>
      <c r="P422" s="34">
        <f>Rådatakommune[[#This Row],[Kvinner20-39-O]]/Rådatakommune[[#This Row],[B15-O]]</f>
        <v>0.10547770700636942</v>
      </c>
      <c r="Q422" s="34">
        <f>Rådatakommune[[#This Row],[Eldre67+-O]]/Rådatakommune[[#This Row],[B15-O]]</f>
        <v>0.16101910828025479</v>
      </c>
      <c r="R422" s="34">
        <f>Rådatakommune[[#This Row],[S14-O]]/Rådatakommune[[#This Row],[S04-O]]-1</f>
        <v>-3.8461538461538436E-2</v>
      </c>
      <c r="S422" s="34">
        <f>Rådatakommune[[#This Row],[Y14-O]]/Rådatakommune[[#This Row],[Folk20-64-O]]</f>
        <v>0.86206896551724133</v>
      </c>
    </row>
    <row r="423" spans="1:19" x14ac:dyDescent="0.25">
      <c r="A423" s="2" t="s">
        <v>421</v>
      </c>
      <c r="B423" s="37">
        <v>2876</v>
      </c>
      <c r="C423" s="36">
        <v>2708</v>
      </c>
      <c r="D423" s="33">
        <v>1385</v>
      </c>
      <c r="E423" s="38">
        <v>384</v>
      </c>
      <c r="F423" s="39">
        <v>305</v>
      </c>
      <c r="G423">
        <v>1623</v>
      </c>
      <c r="H423" s="33">
        <v>1286</v>
      </c>
      <c r="I423" s="33">
        <v>1395</v>
      </c>
      <c r="J423" s="5">
        <v>5452.95</v>
      </c>
      <c r="K423" s="40">
        <v>330800</v>
      </c>
      <c r="L423" s="45">
        <v>335.0833333333</v>
      </c>
      <c r="M423" s="41">
        <v>11</v>
      </c>
      <c r="N423" s="32">
        <f>Rådatakommune[[#This Row],[B15-O]]/Rådatakommune[[#This Row],[Totalareal2015-O]]</f>
        <v>0.49661192565492074</v>
      </c>
      <c r="O423" s="34">
        <f>Rådatakommune[[#This Row],[B15-O]]/Rådatakommune[[#This Row],[B05-O]]-1</f>
        <v>-5.8414464534075061E-2</v>
      </c>
      <c r="P423" s="34">
        <f>Rådatakommune[[#This Row],[Kvinner20-39-O]]/Rådatakommune[[#This Row],[B15-O]]</f>
        <v>0.11262924667651403</v>
      </c>
      <c r="Q423" s="34">
        <f>Rådatakommune[[#This Row],[Eldre67+-O]]/Rådatakommune[[#This Row],[B15-O]]</f>
        <v>0.14180206794682423</v>
      </c>
      <c r="R423" s="34">
        <f>Rådatakommune[[#This Row],[S14-O]]/Rådatakommune[[#This Row],[S04-O]]-1</f>
        <v>8.4758942457231701E-2</v>
      </c>
      <c r="S423" s="34">
        <f>Rådatakommune[[#This Row],[Y14-O]]/Rådatakommune[[#This Row],[Folk20-64-O]]</f>
        <v>0.85335797905113986</v>
      </c>
    </row>
    <row r="424" spans="1:19" x14ac:dyDescent="0.25">
      <c r="A424" s="2" t="s">
        <v>422</v>
      </c>
      <c r="B424" s="37">
        <v>1430</v>
      </c>
      <c r="C424" s="36">
        <v>1343</v>
      </c>
      <c r="D424" s="33">
        <v>623</v>
      </c>
      <c r="E424" s="38">
        <v>233</v>
      </c>
      <c r="F424" s="39">
        <v>126</v>
      </c>
      <c r="G424">
        <v>781</v>
      </c>
      <c r="H424" s="33">
        <v>555</v>
      </c>
      <c r="I424" s="33">
        <v>560</v>
      </c>
      <c r="J424" s="5">
        <v>3459.4</v>
      </c>
      <c r="K424" s="40">
        <v>324900</v>
      </c>
      <c r="L424" s="45">
        <v>386.06666666670003</v>
      </c>
      <c r="M424" s="41">
        <v>11</v>
      </c>
      <c r="N424" s="32">
        <f>Rådatakommune[[#This Row],[B15-O]]/Rådatakommune[[#This Row],[Totalareal2015-O]]</f>
        <v>0.38821760999017169</v>
      </c>
      <c r="O424" s="34">
        <f>Rådatakommune[[#This Row],[B15-O]]/Rådatakommune[[#This Row],[B05-O]]-1</f>
        <v>-6.0839160839160855E-2</v>
      </c>
      <c r="P424" s="34">
        <f>Rådatakommune[[#This Row],[Kvinner20-39-O]]/Rådatakommune[[#This Row],[B15-O]]</f>
        <v>9.3819806403574083E-2</v>
      </c>
      <c r="Q424" s="34">
        <f>Rådatakommune[[#This Row],[Eldre67+-O]]/Rådatakommune[[#This Row],[B15-O]]</f>
        <v>0.1734921816827997</v>
      </c>
      <c r="R424" s="34">
        <f>Rådatakommune[[#This Row],[S14-O]]/Rådatakommune[[#This Row],[S04-O]]-1</f>
        <v>9.009009009008917E-3</v>
      </c>
      <c r="S424" s="34">
        <f>Rådatakommune[[#This Row],[Y14-O]]/Rådatakommune[[#This Row],[Folk20-64-O]]</f>
        <v>0.79769526248399492</v>
      </c>
    </row>
    <row r="425" spans="1:19" x14ac:dyDescent="0.25">
      <c r="A425" s="2" t="s">
        <v>423</v>
      </c>
      <c r="B425" s="37">
        <v>1114</v>
      </c>
      <c r="C425" s="36">
        <v>1116</v>
      </c>
      <c r="D425" s="33">
        <v>549</v>
      </c>
      <c r="E425" s="38">
        <v>186</v>
      </c>
      <c r="F425" s="39">
        <v>116</v>
      </c>
      <c r="G425">
        <v>694</v>
      </c>
      <c r="H425" s="33">
        <v>416</v>
      </c>
      <c r="I425" s="33">
        <v>482</v>
      </c>
      <c r="J425" s="5">
        <v>1416.34</v>
      </c>
      <c r="K425" s="40">
        <v>319000</v>
      </c>
      <c r="L425" s="45">
        <v>363.08333333333002</v>
      </c>
      <c r="M425" s="41">
        <v>11</v>
      </c>
      <c r="N425" s="32">
        <f>Rådatakommune[[#This Row],[B15-O]]/Rådatakommune[[#This Row],[Totalareal2015-O]]</f>
        <v>0.78794639705155545</v>
      </c>
      <c r="O425" s="34">
        <f>Rådatakommune[[#This Row],[B15-O]]/Rådatakommune[[#This Row],[B05-O]]-1</f>
        <v>1.7953321364452268E-3</v>
      </c>
      <c r="P425" s="34">
        <f>Rådatakommune[[#This Row],[Kvinner20-39-O]]/Rådatakommune[[#This Row],[B15-O]]</f>
        <v>0.1039426523297491</v>
      </c>
      <c r="Q425" s="34">
        <f>Rådatakommune[[#This Row],[Eldre67+-O]]/Rådatakommune[[#This Row],[B15-O]]</f>
        <v>0.16666666666666666</v>
      </c>
      <c r="R425" s="34">
        <f>Rådatakommune[[#This Row],[S14-O]]/Rådatakommune[[#This Row],[S04-O]]-1</f>
        <v>0.15865384615384626</v>
      </c>
      <c r="S425" s="34">
        <f>Rådatakommune[[#This Row],[Y14-O]]/Rådatakommune[[#This Row],[Folk20-64-O]]</f>
        <v>0.79106628242074928</v>
      </c>
    </row>
    <row r="426" spans="1:19" x14ac:dyDescent="0.25">
      <c r="A426" s="2" t="s">
        <v>424</v>
      </c>
      <c r="B426" s="37">
        <v>1133</v>
      </c>
      <c r="C426" s="36">
        <v>1020</v>
      </c>
      <c r="D426" s="33">
        <v>514</v>
      </c>
      <c r="E426" s="38">
        <v>199</v>
      </c>
      <c r="F426" s="39">
        <v>99</v>
      </c>
      <c r="G426">
        <v>612</v>
      </c>
      <c r="H426" s="33">
        <v>415</v>
      </c>
      <c r="I426" s="33">
        <v>447</v>
      </c>
      <c r="J426" s="5">
        <v>1121.78</v>
      </c>
      <c r="K426" s="40">
        <v>339600</v>
      </c>
      <c r="L426" s="45">
        <v>360.45</v>
      </c>
      <c r="M426" s="41">
        <v>11</v>
      </c>
      <c r="N426" s="32">
        <f>Rådatakommune[[#This Row],[B15-O]]/Rådatakommune[[#This Row],[Totalareal2015-O]]</f>
        <v>0.90926919716878529</v>
      </c>
      <c r="O426" s="34">
        <f>Rådatakommune[[#This Row],[B15-O]]/Rådatakommune[[#This Row],[B05-O]]-1</f>
        <v>-9.9735216240070645E-2</v>
      </c>
      <c r="P426" s="34">
        <f>Rådatakommune[[#This Row],[Kvinner20-39-O]]/Rådatakommune[[#This Row],[B15-O]]</f>
        <v>9.7058823529411767E-2</v>
      </c>
      <c r="Q426" s="34">
        <f>Rådatakommune[[#This Row],[Eldre67+-O]]/Rådatakommune[[#This Row],[B15-O]]</f>
        <v>0.19509803921568628</v>
      </c>
      <c r="R426" s="34">
        <f>Rådatakommune[[#This Row],[S14-O]]/Rådatakommune[[#This Row],[S04-O]]-1</f>
        <v>7.7108433734939696E-2</v>
      </c>
      <c r="S426" s="34">
        <f>Rådatakommune[[#This Row],[Y14-O]]/Rådatakommune[[#This Row],[Folk20-64-O]]</f>
        <v>0.83986928104575165</v>
      </c>
    </row>
    <row r="427" spans="1:19" x14ac:dyDescent="0.25">
      <c r="A427" s="2" t="s">
        <v>425</v>
      </c>
      <c r="B427" s="37">
        <v>3037</v>
      </c>
      <c r="C427" s="36">
        <v>2909</v>
      </c>
      <c r="D427" s="33">
        <v>1514</v>
      </c>
      <c r="E427" s="38">
        <v>502</v>
      </c>
      <c r="F427" s="39">
        <v>297</v>
      </c>
      <c r="G427">
        <v>1712</v>
      </c>
      <c r="H427" s="33">
        <v>1305</v>
      </c>
      <c r="I427" s="33">
        <v>1431</v>
      </c>
      <c r="J427" s="5">
        <v>4051.35</v>
      </c>
      <c r="K427" s="40">
        <v>350400</v>
      </c>
      <c r="L427" s="45">
        <v>323</v>
      </c>
      <c r="M427" s="41">
        <v>11</v>
      </c>
      <c r="N427" s="32">
        <f>Rådatakommune[[#This Row],[B15-O]]/Rådatakommune[[#This Row],[Totalareal2015-O]]</f>
        <v>0.71803226085132121</v>
      </c>
      <c r="O427" s="34">
        <f>Rådatakommune[[#This Row],[B15-O]]/Rådatakommune[[#This Row],[B05-O]]-1</f>
        <v>-4.2146855449456733E-2</v>
      </c>
      <c r="P427" s="34">
        <f>Rådatakommune[[#This Row],[Kvinner20-39-O]]/Rådatakommune[[#This Row],[B15-O]]</f>
        <v>0.10209694052939154</v>
      </c>
      <c r="Q427" s="34">
        <f>Rådatakommune[[#This Row],[Eldre67+-O]]/Rådatakommune[[#This Row],[B15-O]]</f>
        <v>0.17256789274664833</v>
      </c>
      <c r="R427" s="34">
        <f>Rådatakommune[[#This Row],[S14-O]]/Rådatakommune[[#This Row],[S04-O]]-1</f>
        <v>9.6551724137931005E-2</v>
      </c>
      <c r="S427" s="34">
        <f>Rådatakommune[[#This Row],[Y14-O]]/Rådatakommune[[#This Row],[Folk20-64-O]]</f>
        <v>0.88434579439252337</v>
      </c>
    </row>
    <row r="428" spans="1:19" x14ac:dyDescent="0.25">
      <c r="A428" s="2" t="s">
        <v>426</v>
      </c>
      <c r="B428" s="37">
        <v>901</v>
      </c>
      <c r="C428" s="36">
        <v>934</v>
      </c>
      <c r="D428" s="33">
        <v>445</v>
      </c>
      <c r="E428" s="38">
        <v>198</v>
      </c>
      <c r="F428" s="39">
        <v>90</v>
      </c>
      <c r="G428">
        <v>518</v>
      </c>
      <c r="H428" s="33">
        <v>314</v>
      </c>
      <c r="I428" s="33">
        <v>377</v>
      </c>
      <c r="J428" s="5">
        <v>1436.9</v>
      </c>
      <c r="K428" s="40">
        <v>334000</v>
      </c>
      <c r="L428" s="45">
        <v>308.8333333333</v>
      </c>
      <c r="M428" s="41">
        <v>7</v>
      </c>
      <c r="N428" s="32">
        <f>Rådatakommune[[#This Row],[B15-O]]/Rådatakommune[[#This Row],[Totalareal2015-O]]</f>
        <v>0.65001043913981482</v>
      </c>
      <c r="O428" s="34">
        <f>Rådatakommune[[#This Row],[B15-O]]/Rådatakommune[[#This Row],[B05-O]]-1</f>
        <v>3.662597114317423E-2</v>
      </c>
      <c r="P428" s="34">
        <f>Rådatakommune[[#This Row],[Kvinner20-39-O]]/Rådatakommune[[#This Row],[B15-O]]</f>
        <v>9.6359743040685231E-2</v>
      </c>
      <c r="Q428" s="34">
        <f>Rådatakommune[[#This Row],[Eldre67+-O]]/Rådatakommune[[#This Row],[B15-O]]</f>
        <v>0.21199143468950749</v>
      </c>
      <c r="R428" s="34">
        <f>Rådatakommune[[#This Row],[S14-O]]/Rådatakommune[[#This Row],[S04-O]]-1</f>
        <v>0.2006369426751593</v>
      </c>
      <c r="S428" s="34">
        <f>Rådatakommune[[#This Row],[Y14-O]]/Rådatakommune[[#This Row],[Folk20-64-O]]</f>
        <v>0.85907335907335902</v>
      </c>
    </row>
    <row r="429" spans="1:19" x14ac:dyDescent="0.25">
      <c r="A429" s="2" t="s">
        <v>427</v>
      </c>
      <c r="B429" s="37">
        <v>2185</v>
      </c>
      <c r="C429" s="36">
        <v>2235</v>
      </c>
      <c r="D429" s="33">
        <v>1143</v>
      </c>
      <c r="E429" s="38">
        <v>300</v>
      </c>
      <c r="F429" s="39">
        <v>251</v>
      </c>
      <c r="G429">
        <v>1388</v>
      </c>
      <c r="H429" s="33">
        <v>991</v>
      </c>
      <c r="I429" s="33">
        <v>1105</v>
      </c>
      <c r="J429" s="5">
        <v>1434.72</v>
      </c>
      <c r="K429" s="40">
        <v>343500</v>
      </c>
      <c r="L429" s="45">
        <v>359.25</v>
      </c>
      <c r="M429" s="41">
        <v>9</v>
      </c>
      <c r="N429" s="32">
        <f>Rådatakommune[[#This Row],[B15-O]]/Rådatakommune[[#This Row],[Totalareal2015-O]]</f>
        <v>1.5577952492472398</v>
      </c>
      <c r="O429" s="34">
        <f>Rådatakommune[[#This Row],[B15-O]]/Rådatakommune[[#This Row],[B05-O]]-1</f>
        <v>2.2883295194507935E-2</v>
      </c>
      <c r="P429" s="34">
        <f>Rådatakommune[[#This Row],[Kvinner20-39-O]]/Rådatakommune[[#This Row],[B15-O]]</f>
        <v>0.11230425055928411</v>
      </c>
      <c r="Q429" s="34">
        <f>Rådatakommune[[#This Row],[Eldre67+-O]]/Rådatakommune[[#This Row],[B15-O]]</f>
        <v>0.13422818791946309</v>
      </c>
      <c r="R429" s="34">
        <f>Rådatakommune[[#This Row],[S14-O]]/Rådatakommune[[#This Row],[S04-O]]-1</f>
        <v>0.11503531786074661</v>
      </c>
      <c r="S429" s="34">
        <f>Rådatakommune[[#This Row],[Y14-O]]/Rådatakommune[[#This Row],[Folk20-64-O]]</f>
        <v>0.82348703170028814</v>
      </c>
    </row>
    <row r="430" spans="1:19" x14ac:dyDescent="0.25">
      <c r="A430" s="2" t="s">
        <v>428</v>
      </c>
      <c r="B430" s="37">
        <v>9463</v>
      </c>
      <c r="C430" s="36">
        <v>10221</v>
      </c>
      <c r="D430" s="33">
        <v>5479</v>
      </c>
      <c r="E430" s="38">
        <v>1426</v>
      </c>
      <c r="F430" s="39">
        <v>1291</v>
      </c>
      <c r="G430">
        <v>6207</v>
      </c>
      <c r="H430" s="33">
        <v>4300</v>
      </c>
      <c r="I430" s="33">
        <v>5678</v>
      </c>
      <c r="J430" s="5">
        <v>3971.62</v>
      </c>
      <c r="K430" s="40">
        <v>383800</v>
      </c>
      <c r="L430" s="45">
        <v>237.35</v>
      </c>
      <c r="M430" s="41">
        <v>9</v>
      </c>
      <c r="N430" s="32">
        <f>Rådatakommune[[#This Row],[B15-O]]/Rådatakommune[[#This Row],[Totalareal2015-O]]</f>
        <v>2.5735090466862389</v>
      </c>
      <c r="O430" s="34">
        <f>Rådatakommune[[#This Row],[B15-O]]/Rådatakommune[[#This Row],[B05-O]]-1</f>
        <v>8.0101447743844423E-2</v>
      </c>
      <c r="P430" s="34">
        <f>Rådatakommune[[#This Row],[Kvinner20-39-O]]/Rådatakommune[[#This Row],[B15-O]]</f>
        <v>0.12630858037374035</v>
      </c>
      <c r="Q430" s="34">
        <f>Rådatakommune[[#This Row],[Eldre67+-O]]/Rådatakommune[[#This Row],[B15-O]]</f>
        <v>0.13951668134233441</v>
      </c>
      <c r="R430" s="34">
        <f>Rådatakommune[[#This Row],[S14-O]]/Rådatakommune[[#This Row],[S04-O]]-1</f>
        <v>0.32046511627906971</v>
      </c>
      <c r="S430" s="34">
        <f>Rådatakommune[[#This Row],[Y14-O]]/Rådatakommune[[#This Row],[Folk20-64-O]]</f>
        <v>0.88271306589334619</v>
      </c>
    </row>
  </sheetData>
  <mergeCells count="3">
    <mergeCell ref="B1:J1"/>
    <mergeCell ref="K1:M1"/>
    <mergeCell ref="N1:S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9"/>
  <sheetViews>
    <sheetView tabSelected="1" workbookViewId="0">
      <pane xSplit="1" ySplit="3" topLeftCell="V4" activePane="bottomRight" state="frozen"/>
      <selection pane="topRight" activeCell="B1" sqref="B1"/>
      <selection pane="bottomLeft" activeCell="A3" sqref="A3"/>
      <selection pane="bottomRight" activeCell="AF10" sqref="AF10"/>
    </sheetView>
  </sheetViews>
  <sheetFormatPr baseColWidth="10" defaultRowHeight="15" x14ac:dyDescent="0.25"/>
  <cols>
    <col min="1" max="1" width="25" bestFit="1" customWidth="1"/>
    <col min="2" max="2" width="12.85546875" customWidth="1"/>
    <col min="3" max="3" width="14.42578125" customWidth="1"/>
    <col min="4" max="5" width="13.28515625" customWidth="1"/>
    <col min="6" max="6" width="14.42578125" bestFit="1" customWidth="1"/>
    <col min="7" max="7" width="14.28515625" customWidth="1"/>
    <col min="8" max="8" width="22.5703125" bestFit="1" customWidth="1"/>
    <col min="9" max="9" width="17.42578125" bestFit="1" customWidth="1"/>
    <col min="10" max="10" width="10.42578125" customWidth="1"/>
    <col min="11" max="11" width="9.5703125" customWidth="1"/>
    <col min="12" max="12" width="11.140625" bestFit="1" customWidth="1"/>
    <col min="13" max="13" width="15.42578125" customWidth="1"/>
    <col min="14" max="15" width="14.28515625" customWidth="1"/>
    <col min="16" max="16" width="13.85546875" customWidth="1"/>
    <col min="17" max="17" width="15.28515625" customWidth="1"/>
    <col min="18" max="18" width="13.7109375" customWidth="1"/>
    <col min="19" max="19" width="18" bestFit="1" customWidth="1"/>
    <col min="20" max="20" width="18.140625" customWidth="1"/>
    <col min="21" max="21" width="11.5703125" customWidth="1"/>
    <col min="22" max="22" width="10.7109375" bestFit="1" customWidth="1"/>
    <col min="23" max="23" width="15.85546875" bestFit="1" customWidth="1"/>
    <col min="24" max="24" width="14.7109375" bestFit="1" customWidth="1"/>
    <col min="25" max="25" width="14.7109375" customWidth="1"/>
    <col min="26" max="26" width="14.28515625" bestFit="1" customWidth="1"/>
    <col min="27" max="27" width="15.7109375" bestFit="1" customWidth="1"/>
    <col min="28" max="28" width="14.140625" bestFit="1" customWidth="1"/>
    <col min="29" max="29" width="11.28515625" bestFit="1" customWidth="1"/>
    <col min="30" max="30" width="16.28515625" bestFit="1" customWidth="1"/>
    <col min="31" max="31" width="11" bestFit="1" customWidth="1"/>
    <col min="32" max="32" width="18.85546875" bestFit="1" customWidth="1"/>
    <col min="38" max="38" width="23.28515625" customWidth="1"/>
  </cols>
  <sheetData>
    <row r="1" spans="1:38" x14ac:dyDescent="0.25">
      <c r="B1" s="67" t="s">
        <v>497</v>
      </c>
      <c r="C1" s="68"/>
      <c r="D1" s="68"/>
      <c r="E1" s="68"/>
      <c r="F1" s="68"/>
      <c r="G1" s="68"/>
      <c r="H1" s="68"/>
      <c r="I1" s="68"/>
      <c r="J1" s="69"/>
      <c r="K1" s="70" t="s">
        <v>449</v>
      </c>
      <c r="L1" s="71"/>
      <c r="M1" s="71"/>
      <c r="N1" s="71"/>
      <c r="O1" s="71"/>
      <c r="P1" s="71"/>
      <c r="Q1" s="71"/>
      <c r="R1" s="71"/>
      <c r="S1" s="72"/>
      <c r="T1" s="73" t="s">
        <v>458</v>
      </c>
      <c r="U1" s="74"/>
      <c r="V1" s="74"/>
      <c r="W1" s="74"/>
      <c r="X1" s="74"/>
      <c r="Y1" s="74"/>
      <c r="Z1" s="74"/>
      <c r="AA1" s="74"/>
      <c r="AB1" s="75"/>
      <c r="AC1" s="76" t="s">
        <v>498</v>
      </c>
      <c r="AD1" s="77"/>
      <c r="AE1" s="77"/>
      <c r="AF1" s="77"/>
      <c r="AG1" s="77"/>
      <c r="AH1" s="77"/>
      <c r="AI1" s="77"/>
      <c r="AJ1" s="77"/>
      <c r="AK1" s="77"/>
      <c r="AL1" s="43" t="s">
        <v>508</v>
      </c>
    </row>
    <row r="2" spans="1:38" ht="15.75" thickBot="1" x14ac:dyDescent="0.3">
      <c r="B2" s="78" t="s">
        <v>435</v>
      </c>
      <c r="C2" s="79"/>
      <c r="D2" s="79"/>
      <c r="E2" s="80" t="s">
        <v>445</v>
      </c>
      <c r="F2" s="79"/>
      <c r="G2" s="81"/>
      <c r="H2" s="80" t="s">
        <v>446</v>
      </c>
      <c r="I2" s="81"/>
      <c r="J2" s="47" t="s">
        <v>447</v>
      </c>
      <c r="K2" s="82" t="s">
        <v>435</v>
      </c>
      <c r="L2" s="83"/>
      <c r="M2" s="84"/>
      <c r="N2" s="85" t="s">
        <v>445</v>
      </c>
      <c r="O2" s="83"/>
      <c r="P2" s="84"/>
      <c r="Q2" s="85" t="s">
        <v>446</v>
      </c>
      <c r="R2" s="84"/>
      <c r="S2" s="48" t="s">
        <v>447</v>
      </c>
      <c r="T2" s="86" t="s">
        <v>435</v>
      </c>
      <c r="U2" s="87"/>
      <c r="V2" s="87"/>
      <c r="W2" s="60" t="s">
        <v>445</v>
      </c>
      <c r="X2" s="86"/>
      <c r="Y2" s="61"/>
      <c r="Z2" s="60" t="s">
        <v>446</v>
      </c>
      <c r="AA2" s="61"/>
      <c r="AB2" s="49" t="s">
        <v>447</v>
      </c>
      <c r="AC2" s="62" t="s">
        <v>435</v>
      </c>
      <c r="AD2" s="63"/>
      <c r="AE2" s="63"/>
      <c r="AF2" s="64" t="s">
        <v>445</v>
      </c>
      <c r="AG2" s="65"/>
      <c r="AH2" s="66"/>
      <c r="AI2" s="65" t="s">
        <v>446</v>
      </c>
      <c r="AJ2" s="65"/>
      <c r="AK2" s="50" t="s">
        <v>447</v>
      </c>
      <c r="AL2" s="51"/>
    </row>
    <row r="3" spans="1:38" x14ac:dyDescent="0.25">
      <c r="A3" s="4" t="s">
        <v>0</v>
      </c>
      <c r="B3" s="20" t="s">
        <v>479</v>
      </c>
      <c r="C3" s="21" t="s">
        <v>429</v>
      </c>
      <c r="D3" s="21" t="s">
        <v>476</v>
      </c>
      <c r="E3" s="31" t="s">
        <v>438</v>
      </c>
      <c r="F3" s="53" t="s">
        <v>439</v>
      </c>
      <c r="G3" s="53" t="s">
        <v>440</v>
      </c>
      <c r="H3" s="53" t="s">
        <v>441</v>
      </c>
      <c r="I3" s="53" t="s">
        <v>442</v>
      </c>
      <c r="J3" s="54" t="s">
        <v>433</v>
      </c>
      <c r="K3" s="20" t="s">
        <v>480</v>
      </c>
      <c r="L3" s="53" t="s">
        <v>459</v>
      </c>
      <c r="M3" s="21" t="s">
        <v>477</v>
      </c>
      <c r="N3" s="27" t="s">
        <v>460</v>
      </c>
      <c r="O3" s="53" t="s">
        <v>461</v>
      </c>
      <c r="P3" s="53" t="s">
        <v>462</v>
      </c>
      <c r="Q3" s="53" t="s">
        <v>463</v>
      </c>
      <c r="R3" s="53" t="s">
        <v>464</v>
      </c>
      <c r="S3" s="29" t="s">
        <v>465</v>
      </c>
      <c r="T3" s="20" t="s">
        <v>481</v>
      </c>
      <c r="U3" s="53" t="s">
        <v>466</v>
      </c>
      <c r="V3" s="53" t="s">
        <v>475</v>
      </c>
      <c r="W3" s="53" t="s">
        <v>467</v>
      </c>
      <c r="X3" s="53" t="s">
        <v>468</v>
      </c>
      <c r="Y3" s="53" t="s">
        <v>469</v>
      </c>
      <c r="Z3" s="53" t="s">
        <v>470</v>
      </c>
      <c r="AA3" s="53" t="s">
        <v>471</v>
      </c>
      <c r="AB3" s="54" t="s">
        <v>472</v>
      </c>
      <c r="AC3" s="20" t="s">
        <v>499</v>
      </c>
      <c r="AD3" s="21" t="s">
        <v>500</v>
      </c>
      <c r="AE3" s="21" t="s">
        <v>501</v>
      </c>
      <c r="AF3" s="27" t="s">
        <v>502</v>
      </c>
      <c r="AG3" s="27" t="s">
        <v>503</v>
      </c>
      <c r="AH3" s="27" t="s">
        <v>504</v>
      </c>
      <c r="AI3" s="53" t="s">
        <v>505</v>
      </c>
      <c r="AJ3" s="53" t="s">
        <v>506</v>
      </c>
      <c r="AK3" s="54" t="s">
        <v>507</v>
      </c>
      <c r="AL3" s="52" t="s">
        <v>508</v>
      </c>
    </row>
    <row r="4" spans="1:38" x14ac:dyDescent="0.25">
      <c r="A4" s="1" t="s">
        <v>1</v>
      </c>
      <c r="B4">
        <f>'Rådata-K'!M3</f>
        <v>5</v>
      </c>
      <c r="C4" s="7">
        <f>'Rådata-K'!L3</f>
        <v>75.733333333299996</v>
      </c>
      <c r="D4" s="34">
        <f>'Rådata-K'!N3</f>
        <v>47.222957507435027</v>
      </c>
      <c r="E4" s="34">
        <f>'Rådata-K'!O3</f>
        <v>9.9557682546588255E-2</v>
      </c>
      <c r="F4" s="34">
        <f>'Rådata-K'!P3</f>
        <v>0.11899894486942759</v>
      </c>
      <c r="G4" s="34">
        <f>'Rådata-K'!Q3</f>
        <v>0.16225929833816935</v>
      </c>
      <c r="H4" s="34">
        <f>'Rådata-K'!R3</f>
        <v>0.11437001041305095</v>
      </c>
      <c r="I4" s="34">
        <f>'Rådata-K'!S3</f>
        <v>0.78920337822414977</v>
      </c>
      <c r="J4" s="22">
        <f>'Rådata-K'!K3</f>
        <v>350700</v>
      </c>
      <c r="K4" s="22">
        <f>Tabell2[[#This Row],[NIBR11]]</f>
        <v>5</v>
      </c>
      <c r="L4" s="32">
        <f>IF(Tabell2[[#This Row],[ReisetidOslo]]&lt;=C$434,C$434,IF(Tabell2[[#This Row],[ReisetidOslo]]&gt;=C$435,C$435,Tabell2[[#This Row],[ReisetidOslo]]))</f>
        <v>75.733333333299996</v>
      </c>
      <c r="M4" s="32">
        <f>IF(Tabell2[[#This Row],[Beftettotal]]&lt;=D$434,D$434,IF(Tabell2[[#This Row],[Beftettotal]]&gt;=D$435,D$435,Tabell2[[#This Row],[Beftettotal]]))</f>
        <v>47.222957507435027</v>
      </c>
      <c r="N4" s="34">
        <f>IF(Tabell2[[#This Row],[Befvekst10]]&lt;=E$434,E$434,IF(Tabell2[[#This Row],[Befvekst10]]&gt;=E$435,E$435,Tabell2[[#This Row],[Befvekst10]]))</f>
        <v>9.9557682546588255E-2</v>
      </c>
      <c r="O4" s="34">
        <f>IF(Tabell2[[#This Row],[Kvinneandel]]&lt;=F$434,F$434,IF(Tabell2[[#This Row],[Kvinneandel]]&gt;=F$435,F$435,Tabell2[[#This Row],[Kvinneandel]]))</f>
        <v>0.11899894486942759</v>
      </c>
      <c r="P4" s="34">
        <f>IF(Tabell2[[#This Row],[Eldreandel]]&lt;=G$434,G$434,IF(Tabell2[[#This Row],[Eldreandel]]&gt;=G$435,G$435,Tabell2[[#This Row],[Eldreandel]]))</f>
        <v>0.16225929833816935</v>
      </c>
      <c r="Q4" s="34">
        <f>IF(Tabell2[[#This Row],[Sysselsettingsvekst10]]&lt;=H$434,H$434,IF(Tabell2[[#This Row],[Sysselsettingsvekst10]]&gt;=H$435,H$435,Tabell2[[#This Row],[Sysselsettingsvekst10]]))</f>
        <v>0.11437001041305095</v>
      </c>
      <c r="R4" s="34">
        <f>IF(Tabell2[[#This Row],[Yrkesaktivandel]]&lt;=I$434,I$434,IF(Tabell2[[#This Row],[Yrkesaktivandel]]&gt;=I$435,I$435,Tabell2[[#This Row],[Yrkesaktivandel]]))</f>
        <v>0.83197552842263423</v>
      </c>
      <c r="S4" s="22">
        <f>IF(Tabell2[[#This Row],[Inntekt]]&lt;=J$434,J$434,IF(Tabell2[[#This Row],[Inntekt]]&gt;=J$435,J$435,Tabell2[[#This Row],[Inntekt]]))</f>
        <v>350700</v>
      </c>
      <c r="T4" s="22">
        <f>IF(Tabell2[[#This Row],[NIBR11-T]]&lt;=K$437,100,IF(Tabell2[[#This Row],[NIBR11-T]]&gt;=K$436,0,100*(K$436-Tabell2[[#This Row],[NIBR11-T]])/K$439))</f>
        <v>60</v>
      </c>
      <c r="U4" s="7">
        <f>IF(Tabell2[[#This Row],[ReisetidOslo-T]]&lt;=L$437,100,IF(Tabell2[[#This Row],[ReisetidOslo-T]]&gt;=L$436,0,100*(L$436-Tabell2[[#This Row],[ReisetidOslo-T]])/L$439))</f>
        <v>89.82376599635937</v>
      </c>
      <c r="V4" s="7">
        <f>100-(M$436-Tabell2[[#This Row],[Beftettotal-T]])*100/M$439</f>
        <v>35.501627197512391</v>
      </c>
      <c r="W4" s="7">
        <f>100-(N$436-Tabell2[[#This Row],[Befvekst10-T]])*100/N$439</f>
        <v>70.764920100645995</v>
      </c>
      <c r="X4" s="7">
        <f>100-(O$436-Tabell2[[#This Row],[Kvinneandel-T]])*100/O$439</f>
        <v>75.333837594462778</v>
      </c>
      <c r="Y4" s="7">
        <f>(P$436-Tabell2[[#This Row],[Eldreandel-T]])*100/P$439</f>
        <v>57.116759779888177</v>
      </c>
      <c r="Z4" s="7">
        <f>100-(Q$436-Tabell2[[#This Row],[Sysselsettingsvekst10-T]])*100/Q$439</f>
        <v>54.778318893871514</v>
      </c>
      <c r="AA4" s="7">
        <f>100-(R$436-Tabell2[[#This Row],[Yrkesaktivandel-T]])*100/R$439</f>
        <v>0</v>
      </c>
      <c r="AB4" s="7">
        <f>100-(S$436-Tabell2[[#This Row],[Inntekt-T]])*100/S$439</f>
        <v>22.126770373810075</v>
      </c>
      <c r="AC4" s="55">
        <f>Tabell2[[#This Row],[NIBR11-I]]*Vekter!$B$3</f>
        <v>12</v>
      </c>
      <c r="AD4" s="55">
        <f>Tabell2[[#This Row],[ReisetidOslo-I]]*Vekter!$C$3</f>
        <v>8.9823765996359377</v>
      </c>
      <c r="AE4" s="55">
        <f>Tabell2[[#This Row],[Beftettotal-I]]*Vekter!$D$3</f>
        <v>3.5501627197512393</v>
      </c>
      <c r="AF4" s="55">
        <f>Tabell2[[#This Row],[Befvekst10-I]]*Vekter!$E$3</f>
        <v>14.1529840201292</v>
      </c>
      <c r="AG4" s="55">
        <f>Tabell2[[#This Row],[Kvinneandel-I]]*Vekter!$F$3</f>
        <v>3.766691879723139</v>
      </c>
      <c r="AH4" s="55">
        <f>Tabell2[[#This Row],[Eldreandel-I]]*Vekter!$G$3</f>
        <v>2.8558379889944092</v>
      </c>
      <c r="AI4" s="55">
        <f>Tabell2[[#This Row],[Sysselsettingsvekst10-I]]*Vekter!$H$3</f>
        <v>5.4778318893871516</v>
      </c>
      <c r="AJ4" s="55">
        <f>Tabell2[[#This Row],[Yrkesaktivandel-I]]*Vekter!$J$3</f>
        <v>0</v>
      </c>
      <c r="AK4" s="55">
        <f>Tabell2[[#This Row],[Inntekt-I]]*Vekter!$L$3</f>
        <v>2.2126770373810074</v>
      </c>
      <c r="AL4" s="56">
        <f>SUM(Tabell2[[#This Row],[NIBR11-v]:[Inntekt-v]])</f>
        <v>52.998562135002089</v>
      </c>
    </row>
    <row r="5" spans="1:38" x14ac:dyDescent="0.25">
      <c r="A5" s="1" t="s">
        <v>2</v>
      </c>
      <c r="B5">
        <f>'Rådata-K'!M4</f>
        <v>4</v>
      </c>
      <c r="C5" s="7">
        <f>'Rådata-K'!L4</f>
        <v>41.7166666667</v>
      </c>
      <c r="D5" s="34">
        <f>'Rådata-K'!N4</f>
        <v>500.26742173981438</v>
      </c>
      <c r="E5" s="34">
        <f>'Rådata-K'!O4</f>
        <v>0.13416547788873046</v>
      </c>
      <c r="F5" s="34">
        <f>'Rådata-K'!P4</f>
        <v>0.11603043833721149</v>
      </c>
      <c r="G5" s="34">
        <f>'Rådata-K'!Q4</f>
        <v>0.16313439406326646</v>
      </c>
      <c r="H5" s="34">
        <f>'Rådata-K'!R4</f>
        <v>1.4491708723864516E-2</v>
      </c>
      <c r="I5" s="34">
        <f>'Rådata-K'!S4</f>
        <v>0.79710929464624047</v>
      </c>
      <c r="J5" s="22">
        <f>'Rådata-K'!K4</f>
        <v>373300</v>
      </c>
      <c r="K5" s="22">
        <f>Tabell2[[#This Row],[NIBR11]]</f>
        <v>4</v>
      </c>
      <c r="L5" s="32">
        <f>IF(Tabell2[[#This Row],[ReisetidOslo]]&lt;=C$434,C$434,IF(Tabell2[[#This Row],[ReisetidOslo]]&gt;=C$435,C$435,Tabell2[[#This Row],[ReisetidOslo]]))</f>
        <v>52.54</v>
      </c>
      <c r="M5" s="32">
        <f>IF(Tabell2[[#This Row],[Beftettotal]]&lt;=D$434,D$434,IF(Tabell2[[#This Row],[Beftettotal]]&gt;=D$435,D$435,Tabell2[[#This Row],[Beftettotal]]))</f>
        <v>130.60042534801397</v>
      </c>
      <c r="N5" s="34">
        <f>IF(Tabell2[[#This Row],[Befvekst10]]&lt;=E$434,E$434,IF(Tabell2[[#This Row],[Befvekst10]]&gt;=E$435,E$435,Tabell2[[#This Row],[Befvekst10]]))</f>
        <v>0.13416547788873046</v>
      </c>
      <c r="O5" s="34">
        <f>IF(Tabell2[[#This Row],[Kvinneandel]]&lt;=F$434,F$434,IF(Tabell2[[#This Row],[Kvinneandel]]&gt;=F$435,F$435,Tabell2[[#This Row],[Kvinneandel]]))</f>
        <v>0.11603043833721149</v>
      </c>
      <c r="P5" s="34">
        <f>IF(Tabell2[[#This Row],[Eldreandel]]&lt;=G$434,G$434,IF(Tabell2[[#This Row],[Eldreandel]]&gt;=G$435,G$435,Tabell2[[#This Row],[Eldreandel]]))</f>
        <v>0.16313439406326646</v>
      </c>
      <c r="Q5" s="34">
        <f>IF(Tabell2[[#This Row],[Sysselsettingsvekst10]]&lt;=H$434,H$434,IF(Tabell2[[#This Row],[Sysselsettingsvekst10]]&gt;=H$435,H$435,Tabell2[[#This Row],[Sysselsettingsvekst10]]))</f>
        <v>1.4491708723864516E-2</v>
      </c>
      <c r="R5" s="34">
        <f>IF(Tabell2[[#This Row],[Yrkesaktivandel]]&lt;=I$434,I$434,IF(Tabell2[[#This Row],[Yrkesaktivandel]]&gt;=I$435,I$435,Tabell2[[#This Row],[Yrkesaktivandel]]))</f>
        <v>0.83197552842263423</v>
      </c>
      <c r="S5" s="22">
        <f>IF(Tabell2[[#This Row],[Inntekt]]&lt;=J$434,J$434,IF(Tabell2[[#This Row],[Inntekt]]&gt;=J$435,J$435,Tabell2[[#This Row],[Inntekt]]))</f>
        <v>373300</v>
      </c>
      <c r="T5" s="22">
        <f>IF(Tabell2[[#This Row],[NIBR11-T]]&lt;=K$437,100,IF(Tabell2[[#This Row],[NIBR11-T]]&gt;=K$436,0,100*(K$436-Tabell2[[#This Row],[NIBR11-T]])/K$439))</f>
        <v>70</v>
      </c>
      <c r="U5" s="7">
        <f>IF(Tabell2[[#This Row],[ReisetidOslo-T]]&lt;=L$437,100,IF(Tabell2[[#This Row],[ReisetidOslo-T]]&gt;=L$436,0,100*(L$436-Tabell2[[#This Row],[ReisetidOslo-T]])/L$439))</f>
        <v>100</v>
      </c>
      <c r="V5" s="7">
        <f>100-(M$436-Tabell2[[#This Row],[Beftettotal-T]])*100/M$439</f>
        <v>100</v>
      </c>
      <c r="W5" s="7">
        <f>100-(N$436-Tabell2[[#This Row],[Befvekst10-T]])*100/N$439</f>
        <v>84.699283566018948</v>
      </c>
      <c r="X5" s="7">
        <f>100-(O$436-Tabell2[[#This Row],[Kvinneandel-T]])*100/O$439</f>
        <v>67.4896140915709</v>
      </c>
      <c r="Y5" s="7">
        <f>(P$436-Tabell2[[#This Row],[Eldreandel-T]])*100/P$439</f>
        <v>56.157871942848558</v>
      </c>
      <c r="Z5" s="7">
        <f>100-(Q$436-Tabell2[[#This Row],[Sysselsettingsvekst10-T]])*100/Q$439</f>
        <v>25.060438652011243</v>
      </c>
      <c r="AA5" s="7">
        <f>100-(R$436-Tabell2[[#This Row],[Yrkesaktivandel-T]])*100/R$439</f>
        <v>0</v>
      </c>
      <c r="AB5" s="7">
        <f>100-(S$436-Tabell2[[#This Row],[Inntekt-T]])*100/S$439</f>
        <v>48.363129788716044</v>
      </c>
      <c r="AC5" s="55">
        <f>Tabell2[[#This Row],[NIBR11-I]]*Vekter!$B$3</f>
        <v>14</v>
      </c>
      <c r="AD5" s="55">
        <f>Tabell2[[#This Row],[ReisetidOslo-I]]*Vekter!$C$3</f>
        <v>10</v>
      </c>
      <c r="AE5" s="55">
        <f>Tabell2[[#This Row],[Beftettotal-I]]*Vekter!$D$3</f>
        <v>10</v>
      </c>
      <c r="AF5" s="55">
        <f>Tabell2[[#This Row],[Befvekst10-I]]*Vekter!$E$3</f>
        <v>16.939856713203792</v>
      </c>
      <c r="AG5" s="55">
        <f>Tabell2[[#This Row],[Kvinneandel-I]]*Vekter!$F$3</f>
        <v>3.374480704578545</v>
      </c>
      <c r="AH5" s="55">
        <f>Tabell2[[#This Row],[Eldreandel-I]]*Vekter!$G$3</f>
        <v>2.8078935971424279</v>
      </c>
      <c r="AI5" s="55">
        <f>Tabell2[[#This Row],[Sysselsettingsvekst10-I]]*Vekter!$H$3</f>
        <v>2.5060438652011245</v>
      </c>
      <c r="AJ5" s="55">
        <f>Tabell2[[#This Row],[Yrkesaktivandel-I]]*Vekter!$J$3</f>
        <v>0</v>
      </c>
      <c r="AK5" s="55">
        <f>Tabell2[[#This Row],[Inntekt-I]]*Vekter!$L$3</f>
        <v>4.8363129788716046</v>
      </c>
      <c r="AL5" s="56">
        <f>SUM(Tabell2[[#This Row],[NIBR11-v]:[Inntekt-v]])</f>
        <v>64.46458785899749</v>
      </c>
    </row>
    <row r="6" spans="1:38" x14ac:dyDescent="0.25">
      <c r="A6" s="1" t="s">
        <v>3</v>
      </c>
      <c r="B6">
        <f>'Rådata-K'!M5</f>
        <v>2</v>
      </c>
      <c r="C6" s="7">
        <f>'Rådata-K'!L5</f>
        <v>59.5333333333</v>
      </c>
      <c r="D6" s="34">
        <f>'Rådata-K'!N5</f>
        <v>133.8140155069386</v>
      </c>
      <c r="E6" s="34">
        <f>'Rådata-K'!O5</f>
        <v>8.9220750507507107E-2</v>
      </c>
      <c r="F6" s="34">
        <f>'Rådata-K'!P5</f>
        <v>0.11881827576025981</v>
      </c>
      <c r="G6" s="34">
        <f>'Rådata-K'!Q5</f>
        <v>0.1560193386477709</v>
      </c>
      <c r="H6" s="34">
        <f>'Rådata-K'!R5</f>
        <v>9.5830047775870897E-2</v>
      </c>
      <c r="I6" s="34">
        <f>'Rådata-K'!S5</f>
        <v>0.79709497206703905</v>
      </c>
      <c r="J6" s="22">
        <f>'Rådata-K'!K5</f>
        <v>349800</v>
      </c>
      <c r="K6" s="22">
        <f>Tabell2[[#This Row],[NIBR11]]</f>
        <v>2</v>
      </c>
      <c r="L6" s="32">
        <f>IF(Tabell2[[#This Row],[ReisetidOslo]]&lt;=C$434,C$434,IF(Tabell2[[#This Row],[ReisetidOslo]]&gt;=C$435,C$435,Tabell2[[#This Row],[ReisetidOslo]]))</f>
        <v>59.5333333333</v>
      </c>
      <c r="M6" s="32">
        <f>IF(Tabell2[[#This Row],[Beftettotal]]&lt;=D$434,D$434,IF(Tabell2[[#This Row],[Beftettotal]]&gt;=D$435,D$435,Tabell2[[#This Row],[Beftettotal]]))</f>
        <v>130.60042534801397</v>
      </c>
      <c r="N6" s="34">
        <f>IF(Tabell2[[#This Row],[Befvekst10]]&lt;=E$434,E$434,IF(Tabell2[[#This Row],[Befvekst10]]&gt;=E$435,E$435,Tabell2[[#This Row],[Befvekst10]]))</f>
        <v>8.9220750507507107E-2</v>
      </c>
      <c r="O6" s="34">
        <f>IF(Tabell2[[#This Row],[Kvinneandel]]&lt;=F$434,F$434,IF(Tabell2[[#This Row],[Kvinneandel]]&gt;=F$435,F$435,Tabell2[[#This Row],[Kvinneandel]]))</f>
        <v>0.11881827576025981</v>
      </c>
      <c r="P6" s="34">
        <f>IF(Tabell2[[#This Row],[Eldreandel]]&lt;=G$434,G$434,IF(Tabell2[[#This Row],[Eldreandel]]&gt;=G$435,G$435,Tabell2[[#This Row],[Eldreandel]]))</f>
        <v>0.1560193386477709</v>
      </c>
      <c r="Q6" s="34">
        <f>IF(Tabell2[[#This Row],[Sysselsettingsvekst10]]&lt;=H$434,H$434,IF(Tabell2[[#This Row],[Sysselsettingsvekst10]]&gt;=H$435,H$435,Tabell2[[#This Row],[Sysselsettingsvekst10]]))</f>
        <v>9.5830047775870897E-2</v>
      </c>
      <c r="R6" s="34">
        <f>IF(Tabell2[[#This Row],[Yrkesaktivandel]]&lt;=I$434,I$434,IF(Tabell2[[#This Row],[Yrkesaktivandel]]&gt;=I$435,I$435,Tabell2[[#This Row],[Yrkesaktivandel]]))</f>
        <v>0.83197552842263423</v>
      </c>
      <c r="S6" s="22">
        <f>IF(Tabell2[[#This Row],[Inntekt]]&lt;=J$434,J$434,IF(Tabell2[[#This Row],[Inntekt]]&gt;=J$435,J$435,Tabell2[[#This Row],[Inntekt]]))</f>
        <v>349800</v>
      </c>
      <c r="T6" s="22">
        <f>IF(Tabell2[[#This Row],[NIBR11-T]]&lt;=K$437,100,IF(Tabell2[[#This Row],[NIBR11-T]]&gt;=K$436,0,100*(K$436-Tabell2[[#This Row],[NIBR11-T]])/K$439))</f>
        <v>90</v>
      </c>
      <c r="U6" s="7">
        <f>IF(Tabell2[[#This Row],[ReisetidOslo-T]]&lt;=L$437,100,IF(Tabell2[[#This Row],[ReisetidOslo-T]]&gt;=L$436,0,100*(L$436-Tabell2[[#This Row],[ReisetidOslo-T]])/L$439))</f>
        <v>96.931627056687702</v>
      </c>
      <c r="V6" s="7">
        <f>100-(M$436-Tabell2[[#This Row],[Beftettotal-T]])*100/M$439</f>
        <v>100</v>
      </c>
      <c r="W6" s="7">
        <f>100-(N$436-Tabell2[[#This Row],[Befvekst10-T]])*100/N$439</f>
        <v>66.602893403325041</v>
      </c>
      <c r="X6" s="7">
        <f>100-(O$436-Tabell2[[#This Row],[Kvinneandel-T]])*100/O$439</f>
        <v>74.856422821411073</v>
      </c>
      <c r="Y6" s="7">
        <f>(P$436-Tabell2[[#This Row],[Eldreandel-T]])*100/P$439</f>
        <v>63.954207706029777</v>
      </c>
      <c r="Z6" s="7">
        <f>100-(Q$436-Tabell2[[#This Row],[Sysselsettingsvekst10-T]])*100/Q$439</f>
        <v>49.261921638190778</v>
      </c>
      <c r="AA6" s="7">
        <f>100-(R$436-Tabell2[[#This Row],[Yrkesaktivandel-T]])*100/R$439</f>
        <v>0</v>
      </c>
      <c r="AB6" s="7">
        <f>100-(S$436-Tabell2[[#This Row],[Inntekt-T]])*100/S$439</f>
        <v>21.081959600650109</v>
      </c>
      <c r="AC6" s="55">
        <f>Tabell2[[#This Row],[NIBR11-I]]*Vekter!$B$3</f>
        <v>18</v>
      </c>
      <c r="AD6" s="55">
        <f>Tabell2[[#This Row],[ReisetidOslo-I]]*Vekter!$C$3</f>
        <v>9.6931627056687706</v>
      </c>
      <c r="AE6" s="55">
        <f>Tabell2[[#This Row],[Beftettotal-I]]*Vekter!$D$3</f>
        <v>10</v>
      </c>
      <c r="AF6" s="55">
        <f>Tabell2[[#This Row],[Befvekst10-I]]*Vekter!$E$3</f>
        <v>13.320578680665008</v>
      </c>
      <c r="AG6" s="55">
        <f>Tabell2[[#This Row],[Kvinneandel-I]]*Vekter!$F$3</f>
        <v>3.7428211410705536</v>
      </c>
      <c r="AH6" s="55">
        <f>Tabell2[[#This Row],[Eldreandel-I]]*Vekter!$G$3</f>
        <v>3.1977103853014892</v>
      </c>
      <c r="AI6" s="55">
        <f>Tabell2[[#This Row],[Sysselsettingsvekst10-I]]*Vekter!$H$3</f>
        <v>4.9261921638190778</v>
      </c>
      <c r="AJ6" s="55">
        <f>Tabell2[[#This Row],[Yrkesaktivandel-I]]*Vekter!$J$3</f>
        <v>0</v>
      </c>
      <c r="AK6" s="55">
        <f>Tabell2[[#This Row],[Inntekt-I]]*Vekter!$L$3</f>
        <v>2.1081959600650109</v>
      </c>
      <c r="AL6" s="56">
        <f>SUM(Tabell2[[#This Row],[NIBR11-v]:[Inntekt-v]])</f>
        <v>64.988661036589917</v>
      </c>
    </row>
    <row r="7" spans="1:38" x14ac:dyDescent="0.25">
      <c r="A7" s="1" t="s">
        <v>4</v>
      </c>
      <c r="B7">
        <f>'Rådata-K'!M6</f>
        <v>2</v>
      </c>
      <c r="C7" s="7">
        <f>'Rådata-K'!L6</f>
        <v>62.816666666700002</v>
      </c>
      <c r="D7" s="34">
        <f>'Rådata-K'!N6</f>
        <v>272.59695870535717</v>
      </c>
      <c r="E7" s="34">
        <f>'Rådata-K'!O6</f>
        <v>0.10992927944559638</v>
      </c>
      <c r="F7" s="34">
        <f>'Rådata-K'!P6</f>
        <v>0.11750406223211658</v>
      </c>
      <c r="G7" s="34">
        <f>'Rådata-K'!Q6</f>
        <v>0.15476144781790965</v>
      </c>
      <c r="H7" s="34">
        <f>'Rådata-K'!R6</f>
        <v>8.2722161104999303E-2</v>
      </c>
      <c r="I7" s="34">
        <f>'Rådata-K'!S6</f>
        <v>0.80384261893299491</v>
      </c>
      <c r="J7" s="22">
        <f>'Rådata-K'!K6</f>
        <v>369800</v>
      </c>
      <c r="K7" s="22">
        <f>Tabell2[[#This Row],[NIBR11]]</f>
        <v>2</v>
      </c>
      <c r="L7" s="32">
        <f>IF(Tabell2[[#This Row],[ReisetidOslo]]&lt;=C$434,C$434,IF(Tabell2[[#This Row],[ReisetidOslo]]&gt;=C$435,C$435,Tabell2[[#This Row],[ReisetidOslo]]))</f>
        <v>62.816666666700002</v>
      </c>
      <c r="M7" s="32">
        <f>IF(Tabell2[[#This Row],[Beftettotal]]&lt;=D$434,D$434,IF(Tabell2[[#This Row],[Beftettotal]]&gt;=D$435,D$435,Tabell2[[#This Row],[Beftettotal]]))</f>
        <v>130.60042534801397</v>
      </c>
      <c r="N7" s="34">
        <f>IF(Tabell2[[#This Row],[Befvekst10]]&lt;=E$434,E$434,IF(Tabell2[[#This Row],[Befvekst10]]&gt;=E$435,E$435,Tabell2[[#This Row],[Befvekst10]]))</f>
        <v>0.10992927944559638</v>
      </c>
      <c r="O7" s="34">
        <f>IF(Tabell2[[#This Row],[Kvinneandel]]&lt;=F$434,F$434,IF(Tabell2[[#This Row],[Kvinneandel]]&gt;=F$435,F$435,Tabell2[[#This Row],[Kvinneandel]]))</f>
        <v>0.11750406223211658</v>
      </c>
      <c r="P7" s="34">
        <f>IF(Tabell2[[#This Row],[Eldreandel]]&lt;=G$434,G$434,IF(Tabell2[[#This Row],[Eldreandel]]&gt;=G$435,G$435,Tabell2[[#This Row],[Eldreandel]]))</f>
        <v>0.15476144781790965</v>
      </c>
      <c r="Q7" s="34">
        <f>IF(Tabell2[[#This Row],[Sysselsettingsvekst10]]&lt;=H$434,H$434,IF(Tabell2[[#This Row],[Sysselsettingsvekst10]]&gt;=H$435,H$435,Tabell2[[#This Row],[Sysselsettingsvekst10]]))</f>
        <v>8.2722161104999303E-2</v>
      </c>
      <c r="R7" s="34">
        <f>IF(Tabell2[[#This Row],[Yrkesaktivandel]]&lt;=I$434,I$434,IF(Tabell2[[#This Row],[Yrkesaktivandel]]&gt;=I$435,I$435,Tabell2[[#This Row],[Yrkesaktivandel]]))</f>
        <v>0.83197552842263423</v>
      </c>
      <c r="S7" s="22">
        <f>IF(Tabell2[[#This Row],[Inntekt]]&lt;=J$434,J$434,IF(Tabell2[[#This Row],[Inntekt]]&gt;=J$435,J$435,Tabell2[[#This Row],[Inntekt]]))</f>
        <v>369800</v>
      </c>
      <c r="T7" s="22">
        <f>IF(Tabell2[[#This Row],[NIBR11-T]]&lt;=K$437,100,IF(Tabell2[[#This Row],[NIBR11-T]]&gt;=K$436,0,100*(K$436-Tabell2[[#This Row],[NIBR11-T]])/K$439))</f>
        <v>90</v>
      </c>
      <c r="U7" s="7">
        <f>IF(Tabell2[[#This Row],[ReisetidOslo-T]]&lt;=L$437,100,IF(Tabell2[[#This Row],[ReisetidOslo-T]]&gt;=L$436,0,100*(L$436-Tabell2[[#This Row],[ReisetidOslo-T]])/L$439))</f>
        <v>95.491042047517823</v>
      </c>
      <c r="V7" s="7">
        <f>100-(M$436-Tabell2[[#This Row],[Beftettotal-T]])*100/M$439</f>
        <v>100</v>
      </c>
      <c r="W7" s="7">
        <f>100-(N$436-Tabell2[[#This Row],[Befvekst10-T]])*100/N$439</f>
        <v>74.940904137720125</v>
      </c>
      <c r="X7" s="7">
        <f>100-(O$436-Tabell2[[#This Row],[Kvinneandel-T]])*100/O$439</f>
        <v>71.383637926582637</v>
      </c>
      <c r="Y7" s="7">
        <f>(P$436-Tabell2[[#This Row],[Eldreandel-T]])*100/P$439</f>
        <v>65.33254402111551</v>
      </c>
      <c r="Z7" s="7">
        <f>100-(Q$436-Tabell2[[#This Row],[Sysselsettingsvekst10-T]])*100/Q$439</f>
        <v>45.36178917978102</v>
      </c>
      <c r="AA7" s="7">
        <f>100-(R$436-Tabell2[[#This Row],[Yrkesaktivandel-T]])*100/R$439</f>
        <v>0</v>
      </c>
      <c r="AB7" s="7">
        <f>100-(S$436-Tabell2[[#This Row],[Inntekt-T]])*100/S$439</f>
        <v>44.299976781982821</v>
      </c>
      <c r="AC7" s="55">
        <f>Tabell2[[#This Row],[NIBR11-I]]*Vekter!$B$3</f>
        <v>18</v>
      </c>
      <c r="AD7" s="55">
        <f>Tabell2[[#This Row],[ReisetidOslo-I]]*Vekter!$C$3</f>
        <v>9.5491042047517833</v>
      </c>
      <c r="AE7" s="55">
        <f>Tabell2[[#This Row],[Beftettotal-I]]*Vekter!$D$3</f>
        <v>10</v>
      </c>
      <c r="AF7" s="55">
        <f>Tabell2[[#This Row],[Befvekst10-I]]*Vekter!$E$3</f>
        <v>14.988180827544026</v>
      </c>
      <c r="AG7" s="55">
        <f>Tabell2[[#This Row],[Kvinneandel-I]]*Vekter!$F$3</f>
        <v>3.5691818963291322</v>
      </c>
      <c r="AH7" s="55">
        <f>Tabell2[[#This Row],[Eldreandel-I]]*Vekter!$G$3</f>
        <v>3.2666272010557758</v>
      </c>
      <c r="AI7" s="55">
        <f>Tabell2[[#This Row],[Sysselsettingsvekst10-I]]*Vekter!$H$3</f>
        <v>4.536178917978102</v>
      </c>
      <c r="AJ7" s="55">
        <f>Tabell2[[#This Row],[Yrkesaktivandel-I]]*Vekter!$J$3</f>
        <v>0</v>
      </c>
      <c r="AK7" s="55">
        <f>Tabell2[[#This Row],[Inntekt-I]]*Vekter!$L$3</f>
        <v>4.4299976781982826</v>
      </c>
      <c r="AL7" s="56">
        <f>SUM(Tabell2[[#This Row],[NIBR11-v]:[Inntekt-v]])</f>
        <v>68.339270725857105</v>
      </c>
    </row>
    <row r="8" spans="1:38" x14ac:dyDescent="0.25">
      <c r="A8" s="1" t="s">
        <v>5</v>
      </c>
      <c r="B8">
        <f>'Rådata-K'!M7</f>
        <v>3</v>
      </c>
      <c r="C8" s="7">
        <f>'Rådata-K'!L7</f>
        <v>88.183333333299998</v>
      </c>
      <c r="D8" s="34">
        <f>'Rådata-K'!N7</f>
        <v>49.711495783399911</v>
      </c>
      <c r="E8" s="34">
        <f>'Rådata-K'!O7</f>
        <v>0.18738404452690172</v>
      </c>
      <c r="F8" s="34">
        <f>'Rådata-K'!P7</f>
        <v>9.6205357142857148E-2</v>
      </c>
      <c r="G8" s="34">
        <f>'Rådata-K'!Q7</f>
        <v>0.18482142857142858</v>
      </c>
      <c r="H8" s="34">
        <f>'Rådata-K'!R7</f>
        <v>0.202191235059761</v>
      </c>
      <c r="I8" s="34">
        <f>'Rådata-K'!S7</f>
        <v>0.83884780070066178</v>
      </c>
      <c r="J8" s="22">
        <f>'Rådata-K'!K7</f>
        <v>418200</v>
      </c>
      <c r="K8" s="22">
        <f>Tabell2[[#This Row],[NIBR11]]</f>
        <v>3</v>
      </c>
      <c r="L8" s="32">
        <f>IF(Tabell2[[#This Row],[ReisetidOslo]]&lt;=C$434,C$434,IF(Tabell2[[#This Row],[ReisetidOslo]]&gt;=C$435,C$435,Tabell2[[#This Row],[ReisetidOslo]]))</f>
        <v>88.183333333299998</v>
      </c>
      <c r="M8" s="32">
        <f>IF(Tabell2[[#This Row],[Beftettotal]]&lt;=D$434,D$434,IF(Tabell2[[#This Row],[Beftettotal]]&gt;=D$435,D$435,Tabell2[[#This Row],[Beftettotal]]))</f>
        <v>49.711495783399911</v>
      </c>
      <c r="N8" s="34">
        <f>IF(Tabell2[[#This Row],[Befvekst10]]&lt;=E$434,E$434,IF(Tabell2[[#This Row],[Befvekst10]]&gt;=E$435,E$435,Tabell2[[#This Row],[Befvekst10]]))</f>
        <v>0.17216678769030419</v>
      </c>
      <c r="O8" s="34">
        <f>IF(Tabell2[[#This Row],[Kvinneandel]]&lt;=F$434,F$434,IF(Tabell2[[#This Row],[Kvinneandel]]&gt;=F$435,F$435,Tabell2[[#This Row],[Kvinneandel]]))</f>
        <v>9.6205357142857148E-2</v>
      </c>
      <c r="P8" s="34">
        <f>IF(Tabell2[[#This Row],[Eldreandel]]&lt;=G$434,G$434,IF(Tabell2[[#This Row],[Eldreandel]]&gt;=G$435,G$435,Tabell2[[#This Row],[Eldreandel]]))</f>
        <v>0.18482142857142858</v>
      </c>
      <c r="Q8" s="34">
        <f>IF(Tabell2[[#This Row],[Sysselsettingsvekst10]]&lt;=H$434,H$434,IF(Tabell2[[#This Row],[Sysselsettingsvekst10]]&gt;=H$435,H$435,Tabell2[[#This Row],[Sysselsettingsvekst10]]))</f>
        <v>0.202191235059761</v>
      </c>
      <c r="R8" s="34">
        <f>IF(Tabell2[[#This Row],[Yrkesaktivandel]]&lt;=I$434,I$434,IF(Tabell2[[#This Row],[Yrkesaktivandel]]&gt;=I$435,I$435,Tabell2[[#This Row],[Yrkesaktivandel]]))</f>
        <v>0.83884780070066178</v>
      </c>
      <c r="S8" s="22">
        <f>IF(Tabell2[[#This Row],[Inntekt]]&lt;=J$434,J$434,IF(Tabell2[[#This Row],[Inntekt]]&gt;=J$435,J$435,Tabell2[[#This Row],[Inntekt]]))</f>
        <v>417780</v>
      </c>
      <c r="T8" s="22">
        <f>IF(Tabell2[[#This Row],[NIBR11-T]]&lt;=K$437,100,IF(Tabell2[[#This Row],[NIBR11-T]]&gt;=K$436,0,100*(K$436-Tabell2[[#This Row],[NIBR11-T]])/K$439))</f>
        <v>80</v>
      </c>
      <c r="U8" s="7">
        <f>IF(Tabell2[[#This Row],[ReisetidOslo-T]]&lt;=L$437,100,IF(Tabell2[[#This Row],[ReisetidOslo-T]]&gt;=L$436,0,100*(L$436-Tabell2[[#This Row],[ReisetidOslo-T]])/L$439))</f>
        <v>84.361243144440351</v>
      </c>
      <c r="V8" s="7">
        <f>100-(M$436-Tabell2[[#This Row],[Beftettotal-T]])*100/M$439</f>
        <v>37.426687691833678</v>
      </c>
      <c r="W8" s="7">
        <f>100-(N$436-Tabell2[[#This Row],[Befvekst10-T]])*100/N$439</f>
        <v>100</v>
      </c>
      <c r="X8" s="7">
        <f>100-(O$436-Tabell2[[#This Row],[Kvinneandel-T]])*100/O$439</f>
        <v>15.102204408022516</v>
      </c>
      <c r="Y8" s="7">
        <f>(P$436-Tabell2[[#This Row],[Eldreandel-T]])*100/P$439</f>
        <v>32.394261842904847</v>
      </c>
      <c r="Z8" s="7">
        <f>100-(Q$436-Tabell2[[#This Row],[Sysselsettingsvekst10-T]])*100/Q$439</f>
        <v>80.908725524794434</v>
      </c>
      <c r="AA8" s="7">
        <f>100-(R$436-Tabell2[[#This Row],[Yrkesaktivandel-T]])*100/R$439</f>
        <v>5.2840334495417238</v>
      </c>
      <c r="AB8" s="7">
        <f>100-(S$436-Tabell2[[#This Row],[Inntekt-T]])*100/S$439</f>
        <v>100</v>
      </c>
      <c r="AC8" s="55">
        <f>Tabell2[[#This Row],[NIBR11-I]]*Vekter!$B$3</f>
        <v>16</v>
      </c>
      <c r="AD8" s="55">
        <f>Tabell2[[#This Row],[ReisetidOslo-I]]*Vekter!$C$3</f>
        <v>8.4361243144440348</v>
      </c>
      <c r="AE8" s="55">
        <f>Tabell2[[#This Row],[Beftettotal-I]]*Vekter!$D$3</f>
        <v>3.7426687691833678</v>
      </c>
      <c r="AF8" s="55">
        <f>Tabell2[[#This Row],[Befvekst10-I]]*Vekter!$E$3</f>
        <v>20</v>
      </c>
      <c r="AG8" s="55">
        <f>Tabell2[[#This Row],[Kvinneandel-I]]*Vekter!$F$3</f>
        <v>0.75511022040112585</v>
      </c>
      <c r="AH8" s="55">
        <f>Tabell2[[#This Row],[Eldreandel-I]]*Vekter!$G$3</f>
        <v>1.6197130921452425</v>
      </c>
      <c r="AI8" s="55">
        <f>Tabell2[[#This Row],[Sysselsettingsvekst10-I]]*Vekter!$H$3</f>
        <v>8.0908725524794445</v>
      </c>
      <c r="AJ8" s="55">
        <f>Tabell2[[#This Row],[Yrkesaktivandel-I]]*Vekter!$J$3</f>
        <v>0.5284033449541724</v>
      </c>
      <c r="AK8" s="55">
        <f>Tabell2[[#This Row],[Inntekt-I]]*Vekter!$L$3</f>
        <v>10</v>
      </c>
      <c r="AL8" s="56">
        <f>SUM(Tabell2[[#This Row],[NIBR11-v]:[Inntekt-v]])</f>
        <v>69.17289229360739</v>
      </c>
    </row>
    <row r="9" spans="1:38" x14ac:dyDescent="0.25">
      <c r="A9" s="1" t="s">
        <v>6</v>
      </c>
      <c r="B9">
        <f>'Rådata-K'!M8</f>
        <v>5</v>
      </c>
      <c r="C9" s="7">
        <f>'Rådata-K'!L8</f>
        <v>90.233333333299996</v>
      </c>
      <c r="D9" s="34">
        <f>'Rådata-K'!N8</f>
        <v>4.4037961599899775</v>
      </c>
      <c r="E9" s="34">
        <f>'Rådata-K'!O8</f>
        <v>-1.3333333333333308E-2</v>
      </c>
      <c r="F9" s="34">
        <f>'Rådata-K'!P8</f>
        <v>8.7482219061166433E-2</v>
      </c>
      <c r="G9" s="34">
        <f>'Rådata-K'!Q8</f>
        <v>0.18421052631578946</v>
      </c>
      <c r="H9" s="34">
        <f>'Rådata-K'!R8</f>
        <v>0.10465116279069764</v>
      </c>
      <c r="I9" s="34">
        <f>'Rådata-K'!S8</f>
        <v>0.86692015209125473</v>
      </c>
      <c r="J9" s="22">
        <f>'Rådata-K'!K8</f>
        <v>347300</v>
      </c>
      <c r="K9" s="22">
        <f>Tabell2[[#This Row],[NIBR11]]</f>
        <v>5</v>
      </c>
      <c r="L9" s="32">
        <f>IF(Tabell2[[#This Row],[ReisetidOslo]]&lt;=C$434,C$434,IF(Tabell2[[#This Row],[ReisetidOslo]]&gt;=C$435,C$435,Tabell2[[#This Row],[ReisetidOslo]]))</f>
        <v>90.233333333299996</v>
      </c>
      <c r="M9" s="32">
        <f>IF(Tabell2[[#This Row],[Beftettotal]]&lt;=D$434,D$434,IF(Tabell2[[#This Row],[Beftettotal]]&gt;=D$435,D$435,Tabell2[[#This Row],[Beftettotal]]))</f>
        <v>4.4037961599899775</v>
      </c>
      <c r="N9" s="34">
        <f>IF(Tabell2[[#This Row],[Befvekst10]]&lt;=E$434,E$434,IF(Tabell2[[#This Row],[Befvekst10]]&gt;=E$435,E$435,Tabell2[[#This Row],[Befvekst10]]))</f>
        <v>-1.3333333333333308E-2</v>
      </c>
      <c r="O9" s="34">
        <f>IF(Tabell2[[#This Row],[Kvinneandel]]&lt;=F$434,F$434,IF(Tabell2[[#This Row],[Kvinneandel]]&gt;=F$435,F$435,Tabell2[[#This Row],[Kvinneandel]]))</f>
        <v>9.0490197137593403E-2</v>
      </c>
      <c r="P9" s="34">
        <f>IF(Tabell2[[#This Row],[Eldreandel]]&lt;=G$434,G$434,IF(Tabell2[[#This Row],[Eldreandel]]&gt;=G$435,G$435,Tabell2[[#This Row],[Eldreandel]]))</f>
        <v>0.18421052631578946</v>
      </c>
      <c r="Q9" s="34">
        <f>IF(Tabell2[[#This Row],[Sysselsettingsvekst10]]&lt;=H$434,H$434,IF(Tabell2[[#This Row],[Sysselsettingsvekst10]]&gt;=H$435,H$435,Tabell2[[#This Row],[Sysselsettingsvekst10]]))</f>
        <v>0.10465116279069764</v>
      </c>
      <c r="R9" s="34">
        <f>IF(Tabell2[[#This Row],[Yrkesaktivandel]]&lt;=I$434,I$434,IF(Tabell2[[#This Row],[Yrkesaktivandel]]&gt;=I$435,I$435,Tabell2[[#This Row],[Yrkesaktivandel]]))</f>
        <v>0.86692015209125473</v>
      </c>
      <c r="S9" s="22">
        <f>IF(Tabell2[[#This Row],[Inntekt]]&lt;=J$434,J$434,IF(Tabell2[[#This Row],[Inntekt]]&gt;=J$435,J$435,Tabell2[[#This Row],[Inntekt]]))</f>
        <v>347300</v>
      </c>
      <c r="T9" s="22">
        <f>IF(Tabell2[[#This Row],[NIBR11-T]]&lt;=K$437,100,IF(Tabell2[[#This Row],[NIBR11-T]]&gt;=K$436,0,100*(K$436-Tabell2[[#This Row],[NIBR11-T]])/K$439))</f>
        <v>60</v>
      </c>
      <c r="U9" s="7">
        <f>IF(Tabell2[[#This Row],[ReisetidOslo-T]]&lt;=L$437,100,IF(Tabell2[[#This Row],[ReisetidOslo-T]]&gt;=L$436,0,100*(L$436-Tabell2[[#This Row],[ReisetidOslo-T]])/L$439))</f>
        <v>83.461791590509932</v>
      </c>
      <c r="V9" s="7">
        <f>100-(M$436-Tabell2[[#This Row],[Beftettotal-T]])*100/M$439</f>
        <v>2.3779751701086838</v>
      </c>
      <c r="W9" s="7">
        <f>100-(N$436-Tabell2[[#This Row],[Befvekst10-T]])*100/N$439</f>
        <v>25.310870465462116</v>
      </c>
      <c r="X9" s="7">
        <f>100-(O$436-Tabell2[[#This Row],[Kvinneandel-T]])*100/O$439</f>
        <v>0</v>
      </c>
      <c r="Y9" s="7">
        <f>(P$436-Tabell2[[#This Row],[Eldreandel-T]])*100/P$439</f>
        <v>33.063659173679625</v>
      </c>
      <c r="Z9" s="7">
        <f>100-(Q$436-Tabell2[[#This Row],[Sysselsettingsvekst10-T]])*100/Q$439</f>
        <v>51.886564179931931</v>
      </c>
      <c r="AA9" s="7">
        <f>100-(R$436-Tabell2[[#This Row],[Yrkesaktivandel-T]])*100/R$439</f>
        <v>26.868632800974368</v>
      </c>
      <c r="AB9" s="7">
        <f>100-(S$436-Tabell2[[#This Row],[Inntekt-T]])*100/S$439</f>
        <v>18.179707452983521</v>
      </c>
      <c r="AC9" s="55">
        <f>Tabell2[[#This Row],[NIBR11-I]]*Vekter!$B$3</f>
        <v>12</v>
      </c>
      <c r="AD9" s="55">
        <f>Tabell2[[#This Row],[ReisetidOslo-I]]*Vekter!$C$3</f>
        <v>8.3461791590509939</v>
      </c>
      <c r="AE9" s="55">
        <f>Tabell2[[#This Row],[Beftettotal-I]]*Vekter!$D$3</f>
        <v>0.23779751701086838</v>
      </c>
      <c r="AF9" s="55">
        <f>Tabell2[[#This Row],[Befvekst10-I]]*Vekter!$E$3</f>
        <v>5.0621740930924233</v>
      </c>
      <c r="AG9" s="55">
        <f>Tabell2[[#This Row],[Kvinneandel-I]]*Vekter!$F$3</f>
        <v>0</v>
      </c>
      <c r="AH9" s="55">
        <f>Tabell2[[#This Row],[Eldreandel-I]]*Vekter!$G$3</f>
        <v>1.6531829586839812</v>
      </c>
      <c r="AI9" s="55">
        <f>Tabell2[[#This Row],[Sysselsettingsvekst10-I]]*Vekter!$H$3</f>
        <v>5.1886564179931938</v>
      </c>
      <c r="AJ9" s="55">
        <f>Tabell2[[#This Row],[Yrkesaktivandel-I]]*Vekter!$J$3</f>
        <v>2.686863280097437</v>
      </c>
      <c r="AK9" s="55">
        <f>Tabell2[[#This Row],[Inntekt-I]]*Vekter!$L$3</f>
        <v>1.8179707452983522</v>
      </c>
      <c r="AL9" s="56">
        <f>SUM(Tabell2[[#This Row],[NIBR11-v]:[Inntekt-v]])</f>
        <v>36.992824171227248</v>
      </c>
    </row>
    <row r="10" spans="1:38" x14ac:dyDescent="0.25">
      <c r="A10" s="1" t="s">
        <v>7</v>
      </c>
      <c r="B10">
        <f>'Rådata-K'!M9</f>
        <v>5</v>
      </c>
      <c r="C10" s="7">
        <f>'Rådata-K'!L9</f>
        <v>65.05</v>
      </c>
      <c r="D10" s="34">
        <f>'Rådata-K'!N9</f>
        <v>8.7503027367401316</v>
      </c>
      <c r="E10" s="34">
        <f>'Rådata-K'!O9</f>
        <v>5.0596103518464774E-2</v>
      </c>
      <c r="F10" s="34">
        <f>'Rådata-K'!P9</f>
        <v>9.8533075006919463E-2</v>
      </c>
      <c r="G10" s="34">
        <f>'Rådata-K'!Q9</f>
        <v>0.20426238582895101</v>
      </c>
      <c r="H10" s="34">
        <f>'Rådata-K'!R9</f>
        <v>9.9255583126551805E-3</v>
      </c>
      <c r="I10" s="34">
        <f>'Rådata-K'!S9</f>
        <v>0.86018237082066873</v>
      </c>
      <c r="J10" s="22">
        <f>'Rådata-K'!K9</f>
        <v>344700</v>
      </c>
      <c r="K10" s="22">
        <f>Tabell2[[#This Row],[NIBR11]]</f>
        <v>5</v>
      </c>
      <c r="L10" s="32">
        <f>IF(Tabell2[[#This Row],[ReisetidOslo]]&lt;=C$434,C$434,IF(Tabell2[[#This Row],[ReisetidOslo]]&gt;=C$435,C$435,Tabell2[[#This Row],[ReisetidOslo]]))</f>
        <v>65.05</v>
      </c>
      <c r="M10" s="32">
        <f>IF(Tabell2[[#This Row],[Beftettotal]]&lt;=D$434,D$434,IF(Tabell2[[#This Row],[Beftettotal]]&gt;=D$435,D$435,Tabell2[[#This Row],[Beftettotal]]))</f>
        <v>8.7503027367401316</v>
      </c>
      <c r="N10" s="34">
        <f>IF(Tabell2[[#This Row],[Befvekst10]]&lt;=E$434,E$434,IF(Tabell2[[#This Row],[Befvekst10]]&gt;=E$435,E$435,Tabell2[[#This Row],[Befvekst10]]))</f>
        <v>5.0596103518464774E-2</v>
      </c>
      <c r="O10" s="34">
        <f>IF(Tabell2[[#This Row],[Kvinneandel]]&lt;=F$434,F$434,IF(Tabell2[[#This Row],[Kvinneandel]]&gt;=F$435,F$435,Tabell2[[#This Row],[Kvinneandel]]))</f>
        <v>9.8533075006919463E-2</v>
      </c>
      <c r="P10" s="34">
        <f>IF(Tabell2[[#This Row],[Eldreandel]]&lt;=G$434,G$434,IF(Tabell2[[#This Row],[Eldreandel]]&gt;=G$435,G$435,Tabell2[[#This Row],[Eldreandel]]))</f>
        <v>0.20426238582895101</v>
      </c>
      <c r="Q10" s="34">
        <f>IF(Tabell2[[#This Row],[Sysselsettingsvekst10]]&lt;=H$434,H$434,IF(Tabell2[[#This Row],[Sysselsettingsvekst10]]&gt;=H$435,H$435,Tabell2[[#This Row],[Sysselsettingsvekst10]]))</f>
        <v>9.9255583126551805E-3</v>
      </c>
      <c r="R10" s="34">
        <f>IF(Tabell2[[#This Row],[Yrkesaktivandel]]&lt;=I$434,I$434,IF(Tabell2[[#This Row],[Yrkesaktivandel]]&gt;=I$435,I$435,Tabell2[[#This Row],[Yrkesaktivandel]]))</f>
        <v>0.86018237082066873</v>
      </c>
      <c r="S10" s="22">
        <f>IF(Tabell2[[#This Row],[Inntekt]]&lt;=J$434,J$434,IF(Tabell2[[#This Row],[Inntekt]]&gt;=J$435,J$435,Tabell2[[#This Row],[Inntekt]]))</f>
        <v>344700</v>
      </c>
      <c r="T10" s="22">
        <f>IF(Tabell2[[#This Row],[NIBR11-T]]&lt;=K$437,100,IF(Tabell2[[#This Row],[NIBR11-T]]&gt;=K$436,0,100*(K$436-Tabell2[[#This Row],[NIBR11-T]])/K$439))</f>
        <v>60</v>
      </c>
      <c r="U10" s="7">
        <f>IF(Tabell2[[#This Row],[ReisetidOslo-T]]&lt;=L$437,100,IF(Tabell2[[#This Row],[ReisetidOslo-T]]&gt;=L$436,0,100*(L$436-Tabell2[[#This Row],[ReisetidOslo-T]])/L$439))</f>
        <v>94.511151736746442</v>
      </c>
      <c r="V10" s="7">
        <f>100-(M$436-Tabell2[[#This Row],[Beftettotal-T]])*100/M$439</f>
        <v>5.7403056514291677</v>
      </c>
      <c r="W10" s="7">
        <f>100-(N$436-Tabell2[[#This Row],[Befvekst10-T]])*100/N$439</f>
        <v>51.051198632070538</v>
      </c>
      <c r="X10" s="7">
        <f>100-(O$436-Tabell2[[#This Row],[Kvinneandel-T]])*100/O$439</f>
        <v>21.253155729577387</v>
      </c>
      <c r="Y10" s="7">
        <f>(P$436-Tabell2[[#This Row],[Eldreandel-T]])*100/P$439</f>
        <v>11.091795244091591</v>
      </c>
      <c r="Z10" s="7">
        <f>100-(Q$436-Tabell2[[#This Row],[Sysselsettingsvekst10-T]])*100/Q$439</f>
        <v>23.701822127784425</v>
      </c>
      <c r="AA10" s="7">
        <f>100-(R$436-Tabell2[[#This Row],[Yrkesaktivandel-T]])*100/R$439</f>
        <v>21.688008377331684</v>
      </c>
      <c r="AB10" s="7">
        <f>100-(S$436-Tabell2[[#This Row],[Inntekt-T]])*100/S$439</f>
        <v>15.161365219410257</v>
      </c>
      <c r="AC10" s="55">
        <f>Tabell2[[#This Row],[NIBR11-I]]*Vekter!$B$3</f>
        <v>12</v>
      </c>
      <c r="AD10" s="55">
        <f>Tabell2[[#This Row],[ReisetidOslo-I]]*Vekter!$C$3</f>
        <v>9.4511151736746442</v>
      </c>
      <c r="AE10" s="55">
        <f>Tabell2[[#This Row],[Beftettotal-I]]*Vekter!$D$3</f>
        <v>0.57403056514291684</v>
      </c>
      <c r="AF10" s="55">
        <f>Tabell2[[#This Row],[Befvekst10-I]]*Vekter!$E$3</f>
        <v>10.210239726414109</v>
      </c>
      <c r="AG10" s="55">
        <f>Tabell2[[#This Row],[Kvinneandel-I]]*Vekter!$F$3</f>
        <v>1.0626577864788693</v>
      </c>
      <c r="AH10" s="55">
        <f>Tabell2[[#This Row],[Eldreandel-I]]*Vekter!$G$3</f>
        <v>0.55458976220457956</v>
      </c>
      <c r="AI10" s="55">
        <f>Tabell2[[#This Row],[Sysselsettingsvekst10-I]]*Vekter!$H$3</f>
        <v>2.3701822127784427</v>
      </c>
      <c r="AJ10" s="55">
        <f>Tabell2[[#This Row],[Yrkesaktivandel-I]]*Vekter!$J$3</f>
        <v>2.1688008377331687</v>
      </c>
      <c r="AK10" s="55">
        <f>Tabell2[[#This Row],[Inntekt-I]]*Vekter!$L$3</f>
        <v>1.5161365219410259</v>
      </c>
      <c r="AL10" s="56">
        <f>SUM(Tabell2[[#This Row],[NIBR11-v]:[Inntekt-v]])</f>
        <v>39.907752586367756</v>
      </c>
    </row>
    <row r="11" spans="1:38" x14ac:dyDescent="0.25">
      <c r="A11" s="1" t="s">
        <v>8</v>
      </c>
      <c r="B11">
        <f>'Rådata-K'!M10</f>
        <v>1</v>
      </c>
      <c r="C11" s="7">
        <f>'Rådata-K'!L10</f>
        <v>68.150000000000006</v>
      </c>
      <c r="D11" s="34">
        <f>'Rådata-K'!N10</f>
        <v>3.669324014415202</v>
      </c>
      <c r="E11" s="34">
        <f>'Rådata-K'!O10</f>
        <v>7.496251874062887E-3</v>
      </c>
      <c r="F11" s="34">
        <f>'Rådata-K'!P10</f>
        <v>8.0357142857142863E-2</v>
      </c>
      <c r="G11" s="34">
        <f>'Rådata-K'!Q10</f>
        <v>0.20833333333333334</v>
      </c>
      <c r="H11" s="34">
        <f>'Rådata-K'!R10</f>
        <v>0.34285714285714275</v>
      </c>
      <c r="I11" s="34">
        <f>'Rådata-K'!S10</f>
        <v>0.90348525469168905</v>
      </c>
      <c r="J11" s="22">
        <f>'Rådata-K'!K10</f>
        <v>356000</v>
      </c>
      <c r="K11" s="22">
        <f>Tabell2[[#This Row],[NIBR11]]</f>
        <v>1</v>
      </c>
      <c r="L11" s="32">
        <f>IF(Tabell2[[#This Row],[ReisetidOslo]]&lt;=C$434,C$434,IF(Tabell2[[#This Row],[ReisetidOslo]]&gt;=C$435,C$435,Tabell2[[#This Row],[ReisetidOslo]]))</f>
        <v>68.150000000000006</v>
      </c>
      <c r="M11" s="32">
        <f>IF(Tabell2[[#This Row],[Beftettotal]]&lt;=D$434,D$434,IF(Tabell2[[#This Row],[Beftettotal]]&gt;=D$435,D$435,Tabell2[[#This Row],[Beftettotal]]))</f>
        <v>3.669324014415202</v>
      </c>
      <c r="N11" s="34">
        <f>IF(Tabell2[[#This Row],[Befvekst10]]&lt;=E$434,E$434,IF(Tabell2[[#This Row],[Befvekst10]]&gt;=E$435,E$435,Tabell2[[#This Row],[Befvekst10]]))</f>
        <v>7.496251874062887E-3</v>
      </c>
      <c r="O11" s="34">
        <f>IF(Tabell2[[#This Row],[Kvinneandel]]&lt;=F$434,F$434,IF(Tabell2[[#This Row],[Kvinneandel]]&gt;=F$435,F$435,Tabell2[[#This Row],[Kvinneandel]]))</f>
        <v>9.0490197137593403E-2</v>
      </c>
      <c r="P11" s="34">
        <f>IF(Tabell2[[#This Row],[Eldreandel]]&lt;=G$434,G$434,IF(Tabell2[[#This Row],[Eldreandel]]&gt;=G$435,G$435,Tabell2[[#This Row],[Eldreandel]]))</f>
        <v>0.20833333333333334</v>
      </c>
      <c r="Q11" s="34">
        <f>IF(Tabell2[[#This Row],[Sysselsettingsvekst10]]&lt;=H$434,H$434,IF(Tabell2[[#This Row],[Sysselsettingsvekst10]]&gt;=H$435,H$435,Tabell2[[#This Row],[Sysselsettingsvekst10]]))</f>
        <v>0.26635476409167841</v>
      </c>
      <c r="R11" s="34">
        <f>IF(Tabell2[[#This Row],[Yrkesaktivandel]]&lt;=I$434,I$434,IF(Tabell2[[#This Row],[Yrkesaktivandel]]&gt;=I$435,I$435,Tabell2[[#This Row],[Yrkesaktivandel]]))</f>
        <v>0.90348525469168905</v>
      </c>
      <c r="S11" s="22">
        <f>IF(Tabell2[[#This Row],[Inntekt]]&lt;=J$434,J$434,IF(Tabell2[[#This Row],[Inntekt]]&gt;=J$435,J$435,Tabell2[[#This Row],[Inntekt]]))</f>
        <v>356000</v>
      </c>
      <c r="T11" s="22">
        <f>IF(Tabell2[[#This Row],[NIBR11-T]]&lt;=K$437,100,IF(Tabell2[[#This Row],[NIBR11-T]]&gt;=K$436,0,100*(K$436-Tabell2[[#This Row],[NIBR11-T]])/K$439))</f>
        <v>100</v>
      </c>
      <c r="U11" s="7">
        <f>IF(Tabell2[[#This Row],[ReisetidOslo-T]]&lt;=L$437,100,IF(Tabell2[[#This Row],[ReisetidOslo-T]]&gt;=L$436,0,100*(L$436-Tabell2[[#This Row],[ReisetidOslo-T]])/L$439))</f>
        <v>93.151005484461393</v>
      </c>
      <c r="V11" s="7">
        <f>100-(M$436-Tabell2[[#This Row],[Beftettotal-T]])*100/M$439</f>
        <v>1.809808979826883</v>
      </c>
      <c r="W11" s="7">
        <f>100-(N$436-Tabell2[[#This Row],[Befvekst10-T]])*100/N$439</f>
        <v>33.697622878996469</v>
      </c>
      <c r="X11" s="7">
        <f>100-(O$436-Tabell2[[#This Row],[Kvinneandel-T]])*100/O$439</f>
        <v>0</v>
      </c>
      <c r="Y11" s="7">
        <f>(P$436-Tabell2[[#This Row],[Eldreandel-T]])*100/P$439</f>
        <v>6.6310466251381088</v>
      </c>
      <c r="Z11" s="7">
        <f>100-(Q$436-Tabell2[[#This Row],[Sysselsettingsvekst10-T]])*100/Q$439</f>
        <v>100</v>
      </c>
      <c r="AA11" s="7">
        <f>100-(R$436-Tabell2[[#This Row],[Yrkesaktivandel-T]])*100/R$439</f>
        <v>54.983238481597148</v>
      </c>
      <c r="AB11" s="7">
        <f>100-(S$436-Tabell2[[#This Row],[Inntekt-T]])*100/S$439</f>
        <v>28.279544926863252</v>
      </c>
      <c r="AC11" s="55">
        <f>Tabell2[[#This Row],[NIBR11-I]]*Vekter!$B$3</f>
        <v>20</v>
      </c>
      <c r="AD11" s="55">
        <f>Tabell2[[#This Row],[ReisetidOslo-I]]*Vekter!$C$3</f>
        <v>9.3151005484461393</v>
      </c>
      <c r="AE11" s="55">
        <f>Tabell2[[#This Row],[Beftettotal-I]]*Vekter!$D$3</f>
        <v>0.18098089798268832</v>
      </c>
      <c r="AF11" s="55">
        <f>Tabell2[[#This Row],[Befvekst10-I]]*Vekter!$E$3</f>
        <v>6.7395245757992939</v>
      </c>
      <c r="AG11" s="55">
        <f>Tabell2[[#This Row],[Kvinneandel-I]]*Vekter!$F$3</f>
        <v>0</v>
      </c>
      <c r="AH11" s="55">
        <f>Tabell2[[#This Row],[Eldreandel-I]]*Vekter!$G$3</f>
        <v>0.33155233125690547</v>
      </c>
      <c r="AI11" s="55">
        <f>Tabell2[[#This Row],[Sysselsettingsvekst10-I]]*Vekter!$H$3</f>
        <v>10</v>
      </c>
      <c r="AJ11" s="55">
        <f>Tabell2[[#This Row],[Yrkesaktivandel-I]]*Vekter!$J$3</f>
        <v>5.498323848159715</v>
      </c>
      <c r="AK11" s="55">
        <f>Tabell2[[#This Row],[Inntekt-I]]*Vekter!$L$3</f>
        <v>2.8279544926863256</v>
      </c>
      <c r="AL11" s="56">
        <f>SUM(Tabell2[[#This Row],[NIBR11-v]:[Inntekt-v]])</f>
        <v>54.893436694331072</v>
      </c>
    </row>
    <row r="12" spans="1:38" x14ac:dyDescent="0.25">
      <c r="A12" s="1" t="s">
        <v>9</v>
      </c>
      <c r="B12">
        <f>'Rådata-K'!M11</f>
        <v>5</v>
      </c>
      <c r="C12" s="7">
        <f>'Rådata-K'!L11</f>
        <v>54.3</v>
      </c>
      <c r="D12" s="34">
        <f>'Rådata-K'!N11</f>
        <v>26.148202494497429</v>
      </c>
      <c r="E12" s="34">
        <f>'Rådata-K'!O11</f>
        <v>7.7388149939540574E-2</v>
      </c>
      <c r="F12" s="34">
        <f>'Rådata-K'!P11</f>
        <v>0.10774410774410774</v>
      </c>
      <c r="G12" s="34">
        <f>'Rådata-K'!Q11</f>
        <v>0.16105499438832771</v>
      </c>
      <c r="H12" s="34">
        <f>'Rådata-K'!R11</f>
        <v>0.14485294117647052</v>
      </c>
      <c r="I12" s="34">
        <f>'Rådata-K'!S11</f>
        <v>0.87657512116316638</v>
      </c>
      <c r="J12" s="22">
        <f>'Rådata-K'!K11</f>
        <v>363500</v>
      </c>
      <c r="K12" s="22">
        <f>Tabell2[[#This Row],[NIBR11]]</f>
        <v>5</v>
      </c>
      <c r="L12" s="32">
        <f>IF(Tabell2[[#This Row],[ReisetidOslo]]&lt;=C$434,C$434,IF(Tabell2[[#This Row],[ReisetidOslo]]&gt;=C$435,C$435,Tabell2[[#This Row],[ReisetidOslo]]))</f>
        <v>54.3</v>
      </c>
      <c r="M12" s="32">
        <f>IF(Tabell2[[#This Row],[Beftettotal]]&lt;=D$434,D$434,IF(Tabell2[[#This Row],[Beftettotal]]&gt;=D$435,D$435,Tabell2[[#This Row],[Beftettotal]]))</f>
        <v>26.148202494497429</v>
      </c>
      <c r="N12" s="34">
        <f>IF(Tabell2[[#This Row],[Befvekst10]]&lt;=E$434,E$434,IF(Tabell2[[#This Row],[Befvekst10]]&gt;=E$435,E$435,Tabell2[[#This Row],[Befvekst10]]))</f>
        <v>7.7388149939540574E-2</v>
      </c>
      <c r="O12" s="34">
        <f>IF(Tabell2[[#This Row],[Kvinneandel]]&lt;=F$434,F$434,IF(Tabell2[[#This Row],[Kvinneandel]]&gt;=F$435,F$435,Tabell2[[#This Row],[Kvinneandel]]))</f>
        <v>0.10774410774410774</v>
      </c>
      <c r="P12" s="34">
        <f>IF(Tabell2[[#This Row],[Eldreandel]]&lt;=G$434,G$434,IF(Tabell2[[#This Row],[Eldreandel]]&gt;=G$435,G$435,Tabell2[[#This Row],[Eldreandel]]))</f>
        <v>0.16105499438832771</v>
      </c>
      <c r="Q12" s="34">
        <f>IF(Tabell2[[#This Row],[Sysselsettingsvekst10]]&lt;=H$434,H$434,IF(Tabell2[[#This Row],[Sysselsettingsvekst10]]&gt;=H$435,H$435,Tabell2[[#This Row],[Sysselsettingsvekst10]]))</f>
        <v>0.14485294117647052</v>
      </c>
      <c r="R12" s="34">
        <f>IF(Tabell2[[#This Row],[Yrkesaktivandel]]&lt;=I$434,I$434,IF(Tabell2[[#This Row],[Yrkesaktivandel]]&gt;=I$435,I$435,Tabell2[[#This Row],[Yrkesaktivandel]]))</f>
        <v>0.87657512116316638</v>
      </c>
      <c r="S12" s="22">
        <f>IF(Tabell2[[#This Row],[Inntekt]]&lt;=J$434,J$434,IF(Tabell2[[#This Row],[Inntekt]]&gt;=J$435,J$435,Tabell2[[#This Row],[Inntekt]]))</f>
        <v>363500</v>
      </c>
      <c r="T12" s="22">
        <f>IF(Tabell2[[#This Row],[NIBR11-T]]&lt;=K$437,100,IF(Tabell2[[#This Row],[NIBR11-T]]&gt;=K$436,0,100*(K$436-Tabell2[[#This Row],[NIBR11-T]])/K$439))</f>
        <v>60</v>
      </c>
      <c r="U12" s="7">
        <f>IF(Tabell2[[#This Row],[ReisetidOslo-T]]&lt;=L$437,100,IF(Tabell2[[#This Row],[ReisetidOslo-T]]&gt;=L$436,0,100*(L$436-Tabell2[[#This Row],[ReisetidOslo-T]])/L$439))</f>
        <v>99.227787934186537</v>
      </c>
      <c r="V12" s="7">
        <f>100-(M$436-Tabell2[[#This Row],[Beftettotal-T]])*100/M$439</f>
        <v>19.198812531269994</v>
      </c>
      <c r="W12" s="7">
        <f>100-(N$436-Tabell2[[#This Row],[Befvekst10-T]])*100/N$439</f>
        <v>61.838655883292994</v>
      </c>
      <c r="X12" s="7">
        <f>100-(O$436-Tabell2[[#This Row],[Kvinneandel-T]])*100/O$439</f>
        <v>45.593139050759113</v>
      </c>
      <c r="Y12" s="7">
        <f>(P$436-Tabell2[[#This Row],[Eldreandel-T]])*100/P$439</f>
        <v>58.436378167320917</v>
      </c>
      <c r="Z12" s="7">
        <f>100-(Q$436-Tabell2[[#This Row],[Sysselsettingsvekst10-T]])*100/Q$439</f>
        <v>63.84823769032117</v>
      </c>
      <c r="AA12" s="7">
        <f>100-(R$436-Tabell2[[#This Row],[Yrkesaktivandel-T]])*100/R$439</f>
        <v>34.292258854526878</v>
      </c>
      <c r="AB12" s="7">
        <f>100-(S$436-Tabell2[[#This Row],[Inntekt-T]])*100/S$439</f>
        <v>36.986301369863014</v>
      </c>
      <c r="AC12" s="55">
        <f>Tabell2[[#This Row],[NIBR11-I]]*Vekter!$B$3</f>
        <v>12</v>
      </c>
      <c r="AD12" s="55">
        <f>Tabell2[[#This Row],[ReisetidOslo-I]]*Vekter!$C$3</f>
        <v>9.9227787934186544</v>
      </c>
      <c r="AE12" s="55">
        <f>Tabell2[[#This Row],[Beftettotal-I]]*Vekter!$D$3</f>
        <v>1.9198812531269995</v>
      </c>
      <c r="AF12" s="55">
        <f>Tabell2[[#This Row],[Befvekst10-I]]*Vekter!$E$3</f>
        <v>12.3677311766586</v>
      </c>
      <c r="AG12" s="55">
        <f>Tabell2[[#This Row],[Kvinneandel-I]]*Vekter!$F$3</f>
        <v>2.2796569525379557</v>
      </c>
      <c r="AH12" s="55">
        <f>Tabell2[[#This Row],[Eldreandel-I]]*Vekter!$G$3</f>
        <v>2.921818908366046</v>
      </c>
      <c r="AI12" s="55">
        <f>Tabell2[[#This Row],[Sysselsettingsvekst10-I]]*Vekter!$H$3</f>
        <v>6.384823769032117</v>
      </c>
      <c r="AJ12" s="55">
        <f>Tabell2[[#This Row],[Yrkesaktivandel-I]]*Vekter!$J$3</f>
        <v>3.4292258854526878</v>
      </c>
      <c r="AK12" s="55">
        <f>Tabell2[[#This Row],[Inntekt-I]]*Vekter!$L$3</f>
        <v>3.6986301369863015</v>
      </c>
      <c r="AL12" s="56">
        <f>SUM(Tabell2[[#This Row],[NIBR11-v]:[Inntekt-v]])</f>
        <v>54.924546875579367</v>
      </c>
    </row>
    <row r="13" spans="1:38" x14ac:dyDescent="0.25">
      <c r="A13" s="1" t="s">
        <v>10</v>
      </c>
      <c r="B13">
        <f>'Rådata-K'!M12</f>
        <v>1</v>
      </c>
      <c r="C13" s="7">
        <f>'Rådata-K'!L12</f>
        <v>39.75</v>
      </c>
      <c r="D13" s="34">
        <f>'Rådata-K'!N12</f>
        <v>40.076040273181725</v>
      </c>
      <c r="E13" s="34">
        <f>'Rådata-K'!O12</f>
        <v>0.18632763651521467</v>
      </c>
      <c r="F13" s="34">
        <f>'Rådata-K'!P12</f>
        <v>0.11595221363316936</v>
      </c>
      <c r="G13" s="34">
        <f>'Rådata-K'!Q12</f>
        <v>0.15073787772312017</v>
      </c>
      <c r="H13" s="34">
        <f>'Rådata-K'!R12</f>
        <v>0.17087845968712401</v>
      </c>
      <c r="I13" s="34">
        <f>'Rådata-K'!S12</f>
        <v>0.87484548825710751</v>
      </c>
      <c r="J13" s="22">
        <f>'Rådata-K'!K12</f>
        <v>383700</v>
      </c>
      <c r="K13" s="22">
        <f>Tabell2[[#This Row],[NIBR11]]</f>
        <v>1</v>
      </c>
      <c r="L13" s="32">
        <f>IF(Tabell2[[#This Row],[ReisetidOslo]]&lt;=C$434,C$434,IF(Tabell2[[#This Row],[ReisetidOslo]]&gt;=C$435,C$435,Tabell2[[#This Row],[ReisetidOslo]]))</f>
        <v>52.54</v>
      </c>
      <c r="M13" s="32">
        <f>IF(Tabell2[[#This Row],[Beftettotal]]&lt;=D$434,D$434,IF(Tabell2[[#This Row],[Beftettotal]]&gt;=D$435,D$435,Tabell2[[#This Row],[Beftettotal]]))</f>
        <v>40.076040273181725</v>
      </c>
      <c r="N13" s="34">
        <f>IF(Tabell2[[#This Row],[Befvekst10]]&lt;=E$434,E$434,IF(Tabell2[[#This Row],[Befvekst10]]&gt;=E$435,E$435,Tabell2[[#This Row],[Befvekst10]]))</f>
        <v>0.17216678769030419</v>
      </c>
      <c r="O13" s="34">
        <f>IF(Tabell2[[#This Row],[Kvinneandel]]&lt;=F$434,F$434,IF(Tabell2[[#This Row],[Kvinneandel]]&gt;=F$435,F$435,Tabell2[[#This Row],[Kvinneandel]]))</f>
        <v>0.11595221363316936</v>
      </c>
      <c r="P13" s="34">
        <f>IF(Tabell2[[#This Row],[Eldreandel]]&lt;=G$434,G$434,IF(Tabell2[[#This Row],[Eldreandel]]&gt;=G$435,G$435,Tabell2[[#This Row],[Eldreandel]]))</f>
        <v>0.15073787772312017</v>
      </c>
      <c r="Q13" s="34">
        <f>IF(Tabell2[[#This Row],[Sysselsettingsvekst10]]&lt;=H$434,H$434,IF(Tabell2[[#This Row],[Sysselsettingsvekst10]]&gt;=H$435,H$435,Tabell2[[#This Row],[Sysselsettingsvekst10]]))</f>
        <v>0.17087845968712401</v>
      </c>
      <c r="R13" s="34">
        <f>IF(Tabell2[[#This Row],[Yrkesaktivandel]]&lt;=I$434,I$434,IF(Tabell2[[#This Row],[Yrkesaktivandel]]&gt;=I$435,I$435,Tabell2[[#This Row],[Yrkesaktivandel]]))</f>
        <v>0.87484548825710751</v>
      </c>
      <c r="S13" s="22">
        <f>IF(Tabell2[[#This Row],[Inntekt]]&lt;=J$434,J$434,IF(Tabell2[[#This Row],[Inntekt]]&gt;=J$435,J$435,Tabell2[[#This Row],[Inntekt]]))</f>
        <v>383700</v>
      </c>
      <c r="T13" s="22">
        <f>IF(Tabell2[[#This Row],[NIBR11-T]]&lt;=K$437,100,IF(Tabell2[[#This Row],[NIBR11-T]]&gt;=K$436,0,100*(K$436-Tabell2[[#This Row],[NIBR11-T]])/K$439))</f>
        <v>100</v>
      </c>
      <c r="U13" s="7">
        <f>IF(Tabell2[[#This Row],[ReisetidOslo-T]]&lt;=L$437,100,IF(Tabell2[[#This Row],[ReisetidOslo-T]]&gt;=L$436,0,100*(L$436-Tabell2[[#This Row],[ReisetidOslo-T]])/L$439))</f>
        <v>100</v>
      </c>
      <c r="V13" s="7">
        <f>100-(M$436-Tabell2[[#This Row],[Beftettotal-T]])*100/M$439</f>
        <v>29.972980860533482</v>
      </c>
      <c r="W13" s="7">
        <f>100-(N$436-Tabell2[[#This Row],[Befvekst10-T]])*100/N$439</f>
        <v>100</v>
      </c>
      <c r="X13" s="7">
        <f>100-(O$436-Tabell2[[#This Row],[Kvinneandel-T]])*100/O$439</f>
        <v>67.282906760697685</v>
      </c>
      <c r="Y13" s="7">
        <f>(P$436-Tabell2[[#This Row],[Eldreandel-T]])*100/P$439</f>
        <v>69.7413787516724</v>
      </c>
      <c r="Z13" s="7">
        <f>100-(Q$436-Tabell2[[#This Row],[Sysselsettingsvekst10-T]])*100/Q$439</f>
        <v>71.591894012579743</v>
      </c>
      <c r="AA13" s="7">
        <f>100-(R$436-Tabell2[[#This Row],[Yrkesaktivandel-T]])*100/R$439</f>
        <v>32.962358384741307</v>
      </c>
      <c r="AB13" s="7">
        <f>100-(S$436-Tabell2[[#This Row],[Inntekt-T]])*100/S$439</f>
        <v>60.436498723009052</v>
      </c>
      <c r="AC13" s="55">
        <f>Tabell2[[#This Row],[NIBR11-I]]*Vekter!$B$3</f>
        <v>20</v>
      </c>
      <c r="AD13" s="55">
        <f>Tabell2[[#This Row],[ReisetidOslo-I]]*Vekter!$C$3</f>
        <v>10</v>
      </c>
      <c r="AE13" s="55">
        <f>Tabell2[[#This Row],[Beftettotal-I]]*Vekter!$D$3</f>
        <v>2.9972980860533482</v>
      </c>
      <c r="AF13" s="55">
        <f>Tabell2[[#This Row],[Befvekst10-I]]*Vekter!$E$3</f>
        <v>20</v>
      </c>
      <c r="AG13" s="55">
        <f>Tabell2[[#This Row],[Kvinneandel-I]]*Vekter!$F$3</f>
        <v>3.3641453380348842</v>
      </c>
      <c r="AH13" s="55">
        <f>Tabell2[[#This Row],[Eldreandel-I]]*Vekter!$G$3</f>
        <v>3.4870689375836204</v>
      </c>
      <c r="AI13" s="55">
        <f>Tabell2[[#This Row],[Sysselsettingsvekst10-I]]*Vekter!$H$3</f>
        <v>7.1591894012579749</v>
      </c>
      <c r="AJ13" s="55">
        <f>Tabell2[[#This Row],[Yrkesaktivandel-I]]*Vekter!$J$3</f>
        <v>3.2962358384741308</v>
      </c>
      <c r="AK13" s="55">
        <f>Tabell2[[#This Row],[Inntekt-I]]*Vekter!$L$3</f>
        <v>6.0436498723009056</v>
      </c>
      <c r="AL13" s="56">
        <f>SUM(Tabell2[[#This Row],[NIBR11-v]:[Inntekt-v]])</f>
        <v>76.347587473704863</v>
      </c>
    </row>
    <row r="14" spans="1:38" x14ac:dyDescent="0.25">
      <c r="A14" s="1" t="s">
        <v>11</v>
      </c>
      <c r="B14">
        <f>'Rådata-K'!M13</f>
        <v>5</v>
      </c>
      <c r="C14" s="7">
        <f>'Rådata-K'!L13</f>
        <v>43.583333333299997</v>
      </c>
      <c r="D14" s="34">
        <f>'Rådata-K'!N13</f>
        <v>224.33839479392628</v>
      </c>
      <c r="E14" s="34">
        <f>'Rådata-K'!O13</f>
        <v>0.10107175810916313</v>
      </c>
      <c r="F14" s="34">
        <f>'Rådata-K'!P13</f>
        <v>0.11764326693740734</v>
      </c>
      <c r="G14" s="34">
        <f>'Rådata-K'!Q13</f>
        <v>0.14452394765680396</v>
      </c>
      <c r="H14" s="34">
        <f>'Rådata-K'!R13</f>
        <v>6.404736275565126E-2</v>
      </c>
      <c r="I14" s="34">
        <f>'Rådata-K'!S13</f>
        <v>0.80881865399491659</v>
      </c>
      <c r="J14" s="22">
        <f>'Rådata-K'!K13</f>
        <v>359300</v>
      </c>
      <c r="K14" s="22">
        <f>Tabell2[[#This Row],[NIBR11]]</f>
        <v>5</v>
      </c>
      <c r="L14" s="32">
        <f>IF(Tabell2[[#This Row],[ReisetidOslo]]&lt;=C$434,C$434,IF(Tabell2[[#This Row],[ReisetidOslo]]&gt;=C$435,C$435,Tabell2[[#This Row],[ReisetidOslo]]))</f>
        <v>52.54</v>
      </c>
      <c r="M14" s="32">
        <f>IF(Tabell2[[#This Row],[Beftettotal]]&lt;=D$434,D$434,IF(Tabell2[[#This Row],[Beftettotal]]&gt;=D$435,D$435,Tabell2[[#This Row],[Beftettotal]]))</f>
        <v>130.60042534801397</v>
      </c>
      <c r="N14" s="34">
        <f>IF(Tabell2[[#This Row],[Befvekst10]]&lt;=E$434,E$434,IF(Tabell2[[#This Row],[Befvekst10]]&gt;=E$435,E$435,Tabell2[[#This Row],[Befvekst10]]))</f>
        <v>0.10107175810916313</v>
      </c>
      <c r="O14" s="34">
        <f>IF(Tabell2[[#This Row],[Kvinneandel]]&lt;=F$434,F$434,IF(Tabell2[[#This Row],[Kvinneandel]]&gt;=F$435,F$435,Tabell2[[#This Row],[Kvinneandel]]))</f>
        <v>0.11764326693740734</v>
      </c>
      <c r="P14" s="34">
        <f>IF(Tabell2[[#This Row],[Eldreandel]]&lt;=G$434,G$434,IF(Tabell2[[#This Row],[Eldreandel]]&gt;=G$435,G$435,Tabell2[[#This Row],[Eldreandel]]))</f>
        <v>0.14452394765680396</v>
      </c>
      <c r="Q14" s="34">
        <f>IF(Tabell2[[#This Row],[Sysselsettingsvekst10]]&lt;=H$434,H$434,IF(Tabell2[[#This Row],[Sysselsettingsvekst10]]&gt;=H$435,H$435,Tabell2[[#This Row],[Sysselsettingsvekst10]]))</f>
        <v>6.404736275565126E-2</v>
      </c>
      <c r="R14" s="34">
        <f>IF(Tabell2[[#This Row],[Yrkesaktivandel]]&lt;=I$434,I$434,IF(Tabell2[[#This Row],[Yrkesaktivandel]]&gt;=I$435,I$435,Tabell2[[#This Row],[Yrkesaktivandel]]))</f>
        <v>0.83197552842263423</v>
      </c>
      <c r="S14" s="22">
        <f>IF(Tabell2[[#This Row],[Inntekt]]&lt;=J$434,J$434,IF(Tabell2[[#This Row],[Inntekt]]&gt;=J$435,J$435,Tabell2[[#This Row],[Inntekt]]))</f>
        <v>359300</v>
      </c>
      <c r="T14" s="22">
        <f>IF(Tabell2[[#This Row],[NIBR11-T]]&lt;=K$437,100,IF(Tabell2[[#This Row],[NIBR11-T]]&gt;=K$436,0,100*(K$436-Tabell2[[#This Row],[NIBR11-T]])/K$439))</f>
        <v>60</v>
      </c>
      <c r="U14" s="7">
        <f>IF(Tabell2[[#This Row],[ReisetidOslo-T]]&lt;=L$437,100,IF(Tabell2[[#This Row],[ReisetidOslo-T]]&gt;=L$436,0,100*(L$436-Tabell2[[#This Row],[ReisetidOslo-T]])/L$439))</f>
        <v>100</v>
      </c>
      <c r="V14" s="7">
        <f>100-(M$436-Tabell2[[#This Row],[Beftettotal-T]])*100/M$439</f>
        <v>100</v>
      </c>
      <c r="W14" s="7">
        <f>100-(N$436-Tabell2[[#This Row],[Befvekst10-T]])*100/N$439</f>
        <v>71.374542267975059</v>
      </c>
      <c r="X14" s="7">
        <f>100-(O$436-Tabell2[[#This Row],[Kvinneandel-T]])*100/O$439</f>
        <v>71.751483780753546</v>
      </c>
      <c r="Y14" s="7">
        <f>(P$436-Tabell2[[#This Row],[Eldreandel-T]])*100/P$439</f>
        <v>76.550304666770685</v>
      </c>
      <c r="Z14" s="7">
        <f>100-(Q$436-Tabell2[[#This Row],[Sysselsettingsvekst10-T]])*100/Q$439</f>
        <v>39.805272784319513</v>
      </c>
      <c r="AA14" s="7">
        <f>100-(R$436-Tabell2[[#This Row],[Yrkesaktivandel-T]])*100/R$439</f>
        <v>0</v>
      </c>
      <c r="AB14" s="7">
        <f>100-(S$436-Tabell2[[#This Row],[Inntekt-T]])*100/S$439</f>
        <v>32.110517761783143</v>
      </c>
      <c r="AC14" s="55">
        <f>Tabell2[[#This Row],[NIBR11-I]]*Vekter!$B$3</f>
        <v>12</v>
      </c>
      <c r="AD14" s="55">
        <f>Tabell2[[#This Row],[ReisetidOslo-I]]*Vekter!$C$3</f>
        <v>10</v>
      </c>
      <c r="AE14" s="55">
        <f>Tabell2[[#This Row],[Beftettotal-I]]*Vekter!$D$3</f>
        <v>10</v>
      </c>
      <c r="AF14" s="55">
        <f>Tabell2[[#This Row],[Befvekst10-I]]*Vekter!$E$3</f>
        <v>14.274908453595012</v>
      </c>
      <c r="AG14" s="55">
        <f>Tabell2[[#This Row],[Kvinneandel-I]]*Vekter!$F$3</f>
        <v>3.5875741890376776</v>
      </c>
      <c r="AH14" s="55">
        <f>Tabell2[[#This Row],[Eldreandel-I]]*Vekter!$G$3</f>
        <v>3.8275152333385343</v>
      </c>
      <c r="AI14" s="55">
        <f>Tabell2[[#This Row],[Sysselsettingsvekst10-I]]*Vekter!$H$3</f>
        <v>3.9805272784319516</v>
      </c>
      <c r="AJ14" s="55">
        <f>Tabell2[[#This Row],[Yrkesaktivandel-I]]*Vekter!$J$3</f>
        <v>0</v>
      </c>
      <c r="AK14" s="55">
        <f>Tabell2[[#This Row],[Inntekt-I]]*Vekter!$L$3</f>
        <v>3.2110517761783144</v>
      </c>
      <c r="AL14" s="56">
        <f>SUM(Tabell2[[#This Row],[NIBR11-v]:[Inntekt-v]])</f>
        <v>60.881576930581481</v>
      </c>
    </row>
    <row r="15" spans="1:38" x14ac:dyDescent="0.25">
      <c r="A15" s="1" t="s">
        <v>12</v>
      </c>
      <c r="B15">
        <f>'Rådata-K'!M14</f>
        <v>5</v>
      </c>
      <c r="C15" s="7">
        <f>'Rådata-K'!L14</f>
        <v>51.433333333299998</v>
      </c>
      <c r="D15" s="34">
        <f>'Rådata-K'!N14</f>
        <v>48.124284684837441</v>
      </c>
      <c r="E15" s="34">
        <f>'Rådata-K'!O14</f>
        <v>0.11271194746643154</v>
      </c>
      <c r="F15" s="34">
        <f>'Rådata-K'!P14</f>
        <v>0.11380251915793183</v>
      </c>
      <c r="G15" s="34">
        <f>'Rådata-K'!Q14</f>
        <v>0.15881264863912622</v>
      </c>
      <c r="H15" s="34">
        <f>'Rådata-K'!R14</f>
        <v>4.0042826552462607E-2</v>
      </c>
      <c r="I15" s="34">
        <f>'Rådata-K'!S14</f>
        <v>0.83284682746965744</v>
      </c>
      <c r="J15" s="22">
        <f>'Rådata-K'!K14</f>
        <v>348100</v>
      </c>
      <c r="K15" s="22">
        <f>Tabell2[[#This Row],[NIBR11]]</f>
        <v>5</v>
      </c>
      <c r="L15" s="32">
        <f>IF(Tabell2[[#This Row],[ReisetidOslo]]&lt;=C$434,C$434,IF(Tabell2[[#This Row],[ReisetidOslo]]&gt;=C$435,C$435,Tabell2[[#This Row],[ReisetidOslo]]))</f>
        <v>52.54</v>
      </c>
      <c r="M15" s="32">
        <f>IF(Tabell2[[#This Row],[Beftettotal]]&lt;=D$434,D$434,IF(Tabell2[[#This Row],[Beftettotal]]&gt;=D$435,D$435,Tabell2[[#This Row],[Beftettotal]]))</f>
        <v>48.124284684837441</v>
      </c>
      <c r="N15" s="34">
        <f>IF(Tabell2[[#This Row],[Befvekst10]]&lt;=E$434,E$434,IF(Tabell2[[#This Row],[Befvekst10]]&gt;=E$435,E$435,Tabell2[[#This Row],[Befvekst10]]))</f>
        <v>0.11271194746643154</v>
      </c>
      <c r="O15" s="34">
        <f>IF(Tabell2[[#This Row],[Kvinneandel]]&lt;=F$434,F$434,IF(Tabell2[[#This Row],[Kvinneandel]]&gt;=F$435,F$435,Tabell2[[#This Row],[Kvinneandel]]))</f>
        <v>0.11380251915793183</v>
      </c>
      <c r="P15" s="34">
        <f>IF(Tabell2[[#This Row],[Eldreandel]]&lt;=G$434,G$434,IF(Tabell2[[#This Row],[Eldreandel]]&gt;=G$435,G$435,Tabell2[[#This Row],[Eldreandel]]))</f>
        <v>0.15881264863912622</v>
      </c>
      <c r="Q15" s="34">
        <f>IF(Tabell2[[#This Row],[Sysselsettingsvekst10]]&lt;=H$434,H$434,IF(Tabell2[[#This Row],[Sysselsettingsvekst10]]&gt;=H$435,H$435,Tabell2[[#This Row],[Sysselsettingsvekst10]]))</f>
        <v>4.0042826552462607E-2</v>
      </c>
      <c r="R15" s="34">
        <f>IF(Tabell2[[#This Row],[Yrkesaktivandel]]&lt;=I$434,I$434,IF(Tabell2[[#This Row],[Yrkesaktivandel]]&gt;=I$435,I$435,Tabell2[[#This Row],[Yrkesaktivandel]]))</f>
        <v>0.83284682746965744</v>
      </c>
      <c r="S15" s="22">
        <f>IF(Tabell2[[#This Row],[Inntekt]]&lt;=J$434,J$434,IF(Tabell2[[#This Row],[Inntekt]]&gt;=J$435,J$435,Tabell2[[#This Row],[Inntekt]]))</f>
        <v>348100</v>
      </c>
      <c r="T15" s="22">
        <f>IF(Tabell2[[#This Row],[NIBR11-T]]&lt;=K$437,100,IF(Tabell2[[#This Row],[NIBR11-T]]&gt;=K$436,0,100*(K$436-Tabell2[[#This Row],[NIBR11-T]])/K$439))</f>
        <v>60</v>
      </c>
      <c r="U15" s="7">
        <f>IF(Tabell2[[#This Row],[ReisetidOslo-T]]&lt;=L$437,100,IF(Tabell2[[#This Row],[ReisetidOslo-T]]&gt;=L$436,0,100*(L$436-Tabell2[[#This Row],[ReisetidOslo-T]])/L$439))</f>
        <v>100</v>
      </c>
      <c r="V15" s="7">
        <f>100-(M$436-Tabell2[[#This Row],[Beftettotal-T]])*100/M$439</f>
        <v>36.198867564853238</v>
      </c>
      <c r="W15" s="7">
        <f>100-(N$436-Tabell2[[#This Row],[Befvekst10-T]])*100/N$439</f>
        <v>76.061308001140191</v>
      </c>
      <c r="X15" s="7">
        <f>100-(O$436-Tabell2[[#This Row],[Kvinneandel-T]])*100/O$439</f>
        <v>61.602378945215165</v>
      </c>
      <c r="Y15" s="7">
        <f>(P$436-Tabell2[[#This Row],[Eldreandel-T]])*100/P$439</f>
        <v>60.893432868517408</v>
      </c>
      <c r="Z15" s="7">
        <f>100-(Q$436-Tabell2[[#This Row],[Sysselsettingsvekst10-T]])*100/Q$439</f>
        <v>32.662941366153305</v>
      </c>
      <c r="AA15" s="7">
        <f>100-(R$436-Tabell2[[#This Row],[Yrkesaktivandel-T]])*100/R$439</f>
        <v>0.66993464792490443</v>
      </c>
      <c r="AB15" s="7">
        <f>100-(S$436-Tabell2[[#This Row],[Inntekt-T]])*100/S$439</f>
        <v>19.108428140236825</v>
      </c>
      <c r="AC15" s="55">
        <f>Tabell2[[#This Row],[NIBR11-I]]*Vekter!$B$3</f>
        <v>12</v>
      </c>
      <c r="AD15" s="55">
        <f>Tabell2[[#This Row],[ReisetidOslo-I]]*Vekter!$C$3</f>
        <v>10</v>
      </c>
      <c r="AE15" s="55">
        <f>Tabell2[[#This Row],[Beftettotal-I]]*Vekter!$D$3</f>
        <v>3.6198867564853239</v>
      </c>
      <c r="AF15" s="55">
        <f>Tabell2[[#This Row],[Befvekst10-I]]*Vekter!$E$3</f>
        <v>15.21226160022804</v>
      </c>
      <c r="AG15" s="55">
        <f>Tabell2[[#This Row],[Kvinneandel-I]]*Vekter!$F$3</f>
        <v>3.0801189472607584</v>
      </c>
      <c r="AH15" s="55">
        <f>Tabell2[[#This Row],[Eldreandel-I]]*Vekter!$G$3</f>
        <v>3.0446716434258705</v>
      </c>
      <c r="AI15" s="55">
        <f>Tabell2[[#This Row],[Sysselsettingsvekst10-I]]*Vekter!$H$3</f>
        <v>3.2662941366153309</v>
      </c>
      <c r="AJ15" s="55">
        <f>Tabell2[[#This Row],[Yrkesaktivandel-I]]*Vekter!$J$3</f>
        <v>6.6993464792490451E-2</v>
      </c>
      <c r="AK15" s="55">
        <f>Tabell2[[#This Row],[Inntekt-I]]*Vekter!$L$3</f>
        <v>1.9108428140236826</v>
      </c>
      <c r="AL15" s="56">
        <f>SUM(Tabell2[[#This Row],[NIBR11-v]:[Inntekt-v]])</f>
        <v>52.20106936283149</v>
      </c>
    </row>
    <row r="16" spans="1:38" x14ac:dyDescent="0.25">
      <c r="A16" s="1" t="s">
        <v>13</v>
      </c>
      <c r="B16">
        <f>'Rådata-K'!M15</f>
        <v>5</v>
      </c>
      <c r="C16" s="7">
        <f>'Rådata-K'!L15</f>
        <v>52.05</v>
      </c>
      <c r="D16" s="34">
        <f>'Rådata-K'!N15</f>
        <v>36.86394625037051</v>
      </c>
      <c r="E16" s="34">
        <f>'Rådata-K'!O15</f>
        <v>0.11207153502235467</v>
      </c>
      <c r="F16" s="34">
        <f>'Rådata-K'!P15</f>
        <v>0.11739480032162959</v>
      </c>
      <c r="G16" s="34">
        <f>'Rådata-K'!Q15</f>
        <v>0.13535245242562316</v>
      </c>
      <c r="H16" s="34">
        <f>'Rådata-K'!R15</f>
        <v>6.1002178649237404E-2</v>
      </c>
      <c r="I16" s="34">
        <f>'Rådata-K'!S15</f>
        <v>0.86707089552238803</v>
      </c>
      <c r="J16" s="22">
        <f>'Rådata-K'!K15</f>
        <v>365000</v>
      </c>
      <c r="K16" s="22">
        <f>Tabell2[[#This Row],[NIBR11]]</f>
        <v>5</v>
      </c>
      <c r="L16" s="32">
        <f>IF(Tabell2[[#This Row],[ReisetidOslo]]&lt;=C$434,C$434,IF(Tabell2[[#This Row],[ReisetidOslo]]&gt;=C$435,C$435,Tabell2[[#This Row],[ReisetidOslo]]))</f>
        <v>52.54</v>
      </c>
      <c r="M16" s="32">
        <f>IF(Tabell2[[#This Row],[Beftettotal]]&lt;=D$434,D$434,IF(Tabell2[[#This Row],[Beftettotal]]&gt;=D$435,D$435,Tabell2[[#This Row],[Beftettotal]]))</f>
        <v>36.86394625037051</v>
      </c>
      <c r="N16" s="34">
        <f>IF(Tabell2[[#This Row],[Befvekst10]]&lt;=E$434,E$434,IF(Tabell2[[#This Row],[Befvekst10]]&gt;=E$435,E$435,Tabell2[[#This Row],[Befvekst10]]))</f>
        <v>0.11207153502235467</v>
      </c>
      <c r="O16" s="34">
        <f>IF(Tabell2[[#This Row],[Kvinneandel]]&lt;=F$434,F$434,IF(Tabell2[[#This Row],[Kvinneandel]]&gt;=F$435,F$435,Tabell2[[#This Row],[Kvinneandel]]))</f>
        <v>0.11739480032162959</v>
      </c>
      <c r="P16" s="34">
        <f>IF(Tabell2[[#This Row],[Eldreandel]]&lt;=G$434,G$434,IF(Tabell2[[#This Row],[Eldreandel]]&gt;=G$435,G$435,Tabell2[[#This Row],[Eldreandel]]))</f>
        <v>0.13535245242562316</v>
      </c>
      <c r="Q16" s="34">
        <f>IF(Tabell2[[#This Row],[Sysselsettingsvekst10]]&lt;=H$434,H$434,IF(Tabell2[[#This Row],[Sysselsettingsvekst10]]&gt;=H$435,H$435,Tabell2[[#This Row],[Sysselsettingsvekst10]]))</f>
        <v>6.1002178649237404E-2</v>
      </c>
      <c r="R16" s="34">
        <f>IF(Tabell2[[#This Row],[Yrkesaktivandel]]&lt;=I$434,I$434,IF(Tabell2[[#This Row],[Yrkesaktivandel]]&gt;=I$435,I$435,Tabell2[[#This Row],[Yrkesaktivandel]]))</f>
        <v>0.86707089552238803</v>
      </c>
      <c r="S16" s="22">
        <f>IF(Tabell2[[#This Row],[Inntekt]]&lt;=J$434,J$434,IF(Tabell2[[#This Row],[Inntekt]]&gt;=J$435,J$435,Tabell2[[#This Row],[Inntekt]]))</f>
        <v>365000</v>
      </c>
      <c r="T16" s="22">
        <f>IF(Tabell2[[#This Row],[NIBR11-T]]&lt;=K$437,100,IF(Tabell2[[#This Row],[NIBR11-T]]&gt;=K$436,0,100*(K$436-Tabell2[[#This Row],[NIBR11-T]])/K$439))</f>
        <v>60</v>
      </c>
      <c r="U16" s="7">
        <f>IF(Tabell2[[#This Row],[ReisetidOslo-T]]&lt;=L$437,100,IF(Tabell2[[#This Row],[ReisetidOslo-T]]&gt;=L$436,0,100*(L$436-Tabell2[[#This Row],[ReisetidOslo-T]])/L$439))</f>
        <v>100</v>
      </c>
      <c r="V16" s="7">
        <f>100-(M$436-Tabell2[[#This Row],[Beftettotal-T]])*100/M$439</f>
        <v>27.4881987830057</v>
      </c>
      <c r="W16" s="7">
        <f>100-(N$436-Tabell2[[#This Row],[Befvekst10-T]])*100/N$439</f>
        <v>75.803454541383729</v>
      </c>
      <c r="X16" s="7">
        <f>100-(O$436-Tabell2[[#This Row],[Kvinneandel-T]])*100/O$439</f>
        <v>71.09491535281991</v>
      </c>
      <c r="Y16" s="7">
        <f>(P$436-Tabell2[[#This Row],[Eldreandel-T]])*100/P$439</f>
        <v>86.599988344142389</v>
      </c>
      <c r="Z16" s="7">
        <f>100-(Q$436-Tabell2[[#This Row],[Sysselsettingsvekst10-T]])*100/Q$439</f>
        <v>38.899205950399555</v>
      </c>
      <c r="AA16" s="7">
        <f>100-(R$436-Tabell2[[#This Row],[Yrkesaktivandel-T]])*100/R$439</f>
        <v>26.984538181346707</v>
      </c>
      <c r="AB16" s="7">
        <f>100-(S$436-Tabell2[[#This Row],[Inntekt-T]])*100/S$439</f>
        <v>38.727652658462965</v>
      </c>
      <c r="AC16" s="55">
        <f>Tabell2[[#This Row],[NIBR11-I]]*Vekter!$B$3</f>
        <v>12</v>
      </c>
      <c r="AD16" s="55">
        <f>Tabell2[[#This Row],[ReisetidOslo-I]]*Vekter!$C$3</f>
        <v>10</v>
      </c>
      <c r="AE16" s="55">
        <f>Tabell2[[#This Row],[Beftettotal-I]]*Vekter!$D$3</f>
        <v>2.7488198783005702</v>
      </c>
      <c r="AF16" s="55">
        <f>Tabell2[[#This Row],[Befvekst10-I]]*Vekter!$E$3</f>
        <v>15.160690908276747</v>
      </c>
      <c r="AG16" s="55">
        <f>Tabell2[[#This Row],[Kvinneandel-I]]*Vekter!$F$3</f>
        <v>3.5547457676409957</v>
      </c>
      <c r="AH16" s="55">
        <f>Tabell2[[#This Row],[Eldreandel-I]]*Vekter!$G$3</f>
        <v>4.3299994172071194</v>
      </c>
      <c r="AI16" s="55">
        <f>Tabell2[[#This Row],[Sysselsettingsvekst10-I]]*Vekter!$H$3</f>
        <v>3.8899205950399556</v>
      </c>
      <c r="AJ16" s="55">
        <f>Tabell2[[#This Row],[Yrkesaktivandel-I]]*Vekter!$J$3</f>
        <v>2.6984538181346709</v>
      </c>
      <c r="AK16" s="55">
        <f>Tabell2[[#This Row],[Inntekt-I]]*Vekter!$L$3</f>
        <v>3.8727652658462968</v>
      </c>
      <c r="AL16" s="56">
        <f>SUM(Tabell2[[#This Row],[NIBR11-v]:[Inntekt-v]])</f>
        <v>58.255395650446353</v>
      </c>
    </row>
    <row r="17" spans="1:38" x14ac:dyDescent="0.25">
      <c r="A17" s="1" t="s">
        <v>14</v>
      </c>
      <c r="B17">
        <f>'Rådata-K'!M16</f>
        <v>2</v>
      </c>
      <c r="C17" s="7">
        <f>'Rådata-K'!L16</f>
        <v>60.766666666699997</v>
      </c>
      <c r="D17" s="34">
        <f>'Rådata-K'!N16</f>
        <v>18.449080996526419</v>
      </c>
      <c r="E17" s="34">
        <f>'Rådata-K'!O16</f>
        <v>0.10104338275672697</v>
      </c>
      <c r="F17" s="34">
        <f>'Rådata-K'!P16</f>
        <v>0.11408977556109726</v>
      </c>
      <c r="G17" s="34">
        <f>'Rådata-K'!Q16</f>
        <v>0.15685785536159602</v>
      </c>
      <c r="H17" s="34">
        <f>'Rådata-K'!R16</f>
        <v>9.1082802547770791E-2</v>
      </c>
      <c r="I17" s="34">
        <f>'Rådata-K'!S16</f>
        <v>0.85057223061973652</v>
      </c>
      <c r="J17" s="22">
        <f>'Rådata-K'!K16</f>
        <v>363200</v>
      </c>
      <c r="K17" s="22">
        <f>Tabell2[[#This Row],[NIBR11]]</f>
        <v>2</v>
      </c>
      <c r="L17" s="32">
        <f>IF(Tabell2[[#This Row],[ReisetidOslo]]&lt;=C$434,C$434,IF(Tabell2[[#This Row],[ReisetidOslo]]&gt;=C$435,C$435,Tabell2[[#This Row],[ReisetidOslo]]))</f>
        <v>60.766666666699997</v>
      </c>
      <c r="M17" s="32">
        <f>IF(Tabell2[[#This Row],[Beftettotal]]&lt;=D$434,D$434,IF(Tabell2[[#This Row],[Beftettotal]]&gt;=D$435,D$435,Tabell2[[#This Row],[Beftettotal]]))</f>
        <v>18.449080996526419</v>
      </c>
      <c r="N17" s="34">
        <f>IF(Tabell2[[#This Row],[Befvekst10]]&lt;=E$434,E$434,IF(Tabell2[[#This Row],[Befvekst10]]&gt;=E$435,E$435,Tabell2[[#This Row],[Befvekst10]]))</f>
        <v>0.10104338275672697</v>
      </c>
      <c r="O17" s="34">
        <f>IF(Tabell2[[#This Row],[Kvinneandel]]&lt;=F$434,F$434,IF(Tabell2[[#This Row],[Kvinneandel]]&gt;=F$435,F$435,Tabell2[[#This Row],[Kvinneandel]]))</f>
        <v>0.11408977556109726</v>
      </c>
      <c r="P17" s="34">
        <f>IF(Tabell2[[#This Row],[Eldreandel]]&lt;=G$434,G$434,IF(Tabell2[[#This Row],[Eldreandel]]&gt;=G$435,G$435,Tabell2[[#This Row],[Eldreandel]]))</f>
        <v>0.15685785536159602</v>
      </c>
      <c r="Q17" s="34">
        <f>IF(Tabell2[[#This Row],[Sysselsettingsvekst10]]&lt;=H$434,H$434,IF(Tabell2[[#This Row],[Sysselsettingsvekst10]]&gt;=H$435,H$435,Tabell2[[#This Row],[Sysselsettingsvekst10]]))</f>
        <v>9.1082802547770791E-2</v>
      </c>
      <c r="R17" s="34">
        <f>IF(Tabell2[[#This Row],[Yrkesaktivandel]]&lt;=I$434,I$434,IF(Tabell2[[#This Row],[Yrkesaktivandel]]&gt;=I$435,I$435,Tabell2[[#This Row],[Yrkesaktivandel]]))</f>
        <v>0.85057223061973652</v>
      </c>
      <c r="S17" s="22">
        <f>IF(Tabell2[[#This Row],[Inntekt]]&lt;=J$434,J$434,IF(Tabell2[[#This Row],[Inntekt]]&gt;=J$435,J$435,Tabell2[[#This Row],[Inntekt]]))</f>
        <v>363200</v>
      </c>
      <c r="T17" s="22">
        <f>IF(Tabell2[[#This Row],[NIBR11-T]]&lt;=K$437,100,IF(Tabell2[[#This Row],[NIBR11-T]]&gt;=K$436,0,100*(K$436-Tabell2[[#This Row],[NIBR11-T]])/K$439))</f>
        <v>90</v>
      </c>
      <c r="U17" s="7">
        <f>IF(Tabell2[[#This Row],[ReisetidOslo-T]]&lt;=L$437,100,IF(Tabell2[[#This Row],[ReisetidOslo-T]]&gt;=L$436,0,100*(L$436-Tabell2[[#This Row],[ReisetidOslo-T]])/L$439))</f>
        <v>96.39049360144827</v>
      </c>
      <c r="V17" s="7">
        <f>100-(M$436-Tabell2[[#This Row],[Beftettotal-T]])*100/M$439</f>
        <v>13.242997111482197</v>
      </c>
      <c r="W17" s="7">
        <f>100-(N$436-Tabell2[[#This Row],[Befvekst10-T]])*100/N$439</f>
        <v>71.363117313845663</v>
      </c>
      <c r="X17" s="7">
        <f>100-(O$436-Tabell2[[#This Row],[Kvinneandel-T]])*100/O$439</f>
        <v>62.361448667519014</v>
      </c>
      <c r="Y17" s="7">
        <f>(P$436-Tabell2[[#This Row],[Eldreandel-T]])*100/P$439</f>
        <v>63.035401391495306</v>
      </c>
      <c r="Z17" s="7">
        <f>100-(Q$436-Tabell2[[#This Row],[Sysselsettingsvekst10-T]])*100/Q$439</f>
        <v>47.84942199831459</v>
      </c>
      <c r="AA17" s="7">
        <f>100-(R$436-Tabell2[[#This Row],[Yrkesaktivandel-T]])*100/R$439</f>
        <v>14.298850872779767</v>
      </c>
      <c r="AB17" s="7">
        <f>100-(S$436-Tabell2[[#This Row],[Inntekt-T]])*100/S$439</f>
        <v>36.638031112143025</v>
      </c>
      <c r="AC17" s="55">
        <f>Tabell2[[#This Row],[NIBR11-I]]*Vekter!$B$3</f>
        <v>18</v>
      </c>
      <c r="AD17" s="55">
        <f>Tabell2[[#This Row],[ReisetidOslo-I]]*Vekter!$C$3</f>
        <v>9.6390493601448277</v>
      </c>
      <c r="AE17" s="55">
        <f>Tabell2[[#This Row],[Beftettotal-I]]*Vekter!$D$3</f>
        <v>1.3242997111482198</v>
      </c>
      <c r="AF17" s="55">
        <f>Tabell2[[#This Row],[Befvekst10-I]]*Vekter!$E$3</f>
        <v>14.272623462769133</v>
      </c>
      <c r="AG17" s="55">
        <f>Tabell2[[#This Row],[Kvinneandel-I]]*Vekter!$F$3</f>
        <v>3.1180724333759509</v>
      </c>
      <c r="AH17" s="55">
        <f>Tabell2[[#This Row],[Eldreandel-I]]*Vekter!$G$3</f>
        <v>3.1517700695747655</v>
      </c>
      <c r="AI17" s="55">
        <f>Tabell2[[#This Row],[Sysselsettingsvekst10-I]]*Vekter!$H$3</f>
        <v>4.784942199831459</v>
      </c>
      <c r="AJ17" s="55">
        <f>Tabell2[[#This Row],[Yrkesaktivandel-I]]*Vekter!$J$3</f>
        <v>1.4298850872779767</v>
      </c>
      <c r="AK17" s="55">
        <f>Tabell2[[#This Row],[Inntekt-I]]*Vekter!$L$3</f>
        <v>3.6638031112143028</v>
      </c>
      <c r="AL17" s="56">
        <f>SUM(Tabell2[[#This Row],[NIBR11-v]:[Inntekt-v]])</f>
        <v>59.38444543533663</v>
      </c>
    </row>
    <row r="18" spans="1:38" x14ac:dyDescent="0.25">
      <c r="A18" s="1" t="s">
        <v>15</v>
      </c>
      <c r="B18">
        <f>'Rådata-K'!M17</f>
        <v>2</v>
      </c>
      <c r="C18" s="7">
        <f>'Rådata-K'!L17</f>
        <v>48.9666666667</v>
      </c>
      <c r="D18" s="34">
        <f>'Rådata-K'!N17</f>
        <v>60.671886840111142</v>
      </c>
      <c r="E18" s="34">
        <f>'Rådata-K'!O17</f>
        <v>0.11461716937354982</v>
      </c>
      <c r="F18" s="34">
        <f>'Rådata-K'!P17</f>
        <v>0.10602275881210102</v>
      </c>
      <c r="G18" s="34">
        <f>'Rådata-K'!Q17</f>
        <v>0.16763807937829586</v>
      </c>
      <c r="H18" s="34">
        <f>'Rådata-K'!R17</f>
        <v>0.26415094339622636</v>
      </c>
      <c r="I18" s="34">
        <f>'Rådata-K'!S17</f>
        <v>0.87208737864077668</v>
      </c>
      <c r="J18" s="22">
        <f>'Rådata-K'!K17</f>
        <v>386500</v>
      </c>
      <c r="K18" s="22">
        <f>Tabell2[[#This Row],[NIBR11]]</f>
        <v>2</v>
      </c>
      <c r="L18" s="32">
        <f>IF(Tabell2[[#This Row],[ReisetidOslo]]&lt;=C$434,C$434,IF(Tabell2[[#This Row],[ReisetidOslo]]&gt;=C$435,C$435,Tabell2[[#This Row],[ReisetidOslo]]))</f>
        <v>52.54</v>
      </c>
      <c r="M18" s="32">
        <f>IF(Tabell2[[#This Row],[Beftettotal]]&lt;=D$434,D$434,IF(Tabell2[[#This Row],[Beftettotal]]&gt;=D$435,D$435,Tabell2[[#This Row],[Beftettotal]]))</f>
        <v>60.671886840111142</v>
      </c>
      <c r="N18" s="34">
        <f>IF(Tabell2[[#This Row],[Befvekst10]]&lt;=E$434,E$434,IF(Tabell2[[#This Row],[Befvekst10]]&gt;=E$435,E$435,Tabell2[[#This Row],[Befvekst10]]))</f>
        <v>0.11461716937354982</v>
      </c>
      <c r="O18" s="34">
        <f>IF(Tabell2[[#This Row],[Kvinneandel]]&lt;=F$434,F$434,IF(Tabell2[[#This Row],[Kvinneandel]]&gt;=F$435,F$435,Tabell2[[#This Row],[Kvinneandel]]))</f>
        <v>0.10602275881210102</v>
      </c>
      <c r="P18" s="34">
        <f>IF(Tabell2[[#This Row],[Eldreandel]]&lt;=G$434,G$434,IF(Tabell2[[#This Row],[Eldreandel]]&gt;=G$435,G$435,Tabell2[[#This Row],[Eldreandel]]))</f>
        <v>0.16763807937829586</v>
      </c>
      <c r="Q18" s="34">
        <f>IF(Tabell2[[#This Row],[Sysselsettingsvekst10]]&lt;=H$434,H$434,IF(Tabell2[[#This Row],[Sysselsettingsvekst10]]&gt;=H$435,H$435,Tabell2[[#This Row],[Sysselsettingsvekst10]]))</f>
        <v>0.26415094339622636</v>
      </c>
      <c r="R18" s="34">
        <f>IF(Tabell2[[#This Row],[Yrkesaktivandel]]&lt;=I$434,I$434,IF(Tabell2[[#This Row],[Yrkesaktivandel]]&gt;=I$435,I$435,Tabell2[[#This Row],[Yrkesaktivandel]]))</f>
        <v>0.87208737864077668</v>
      </c>
      <c r="S18" s="22">
        <f>IF(Tabell2[[#This Row],[Inntekt]]&lt;=J$434,J$434,IF(Tabell2[[#This Row],[Inntekt]]&gt;=J$435,J$435,Tabell2[[#This Row],[Inntekt]]))</f>
        <v>386500</v>
      </c>
      <c r="T18" s="22">
        <f>IF(Tabell2[[#This Row],[NIBR11-T]]&lt;=K$437,100,IF(Tabell2[[#This Row],[NIBR11-T]]&gt;=K$436,0,100*(K$436-Tabell2[[#This Row],[NIBR11-T]])/K$439))</f>
        <v>90</v>
      </c>
      <c r="U18" s="7">
        <f>IF(Tabell2[[#This Row],[ReisetidOslo-T]]&lt;=L$437,100,IF(Tabell2[[#This Row],[ReisetidOslo-T]]&gt;=L$436,0,100*(L$436-Tabell2[[#This Row],[ReisetidOslo-T]])/L$439))</f>
        <v>100</v>
      </c>
      <c r="V18" s="7">
        <f>100-(M$436-Tabell2[[#This Row],[Beftettotal-T]])*100/M$439</f>
        <v>45.905325946817456</v>
      </c>
      <c r="W18" s="7">
        <f>100-(N$436-Tabell2[[#This Row],[Befvekst10-T]])*100/N$439</f>
        <v>76.82841998482813</v>
      </c>
      <c r="X18" s="7">
        <f>100-(O$436-Tabell2[[#This Row],[Kvinneandel-T]])*100/O$439</f>
        <v>41.044506395723403</v>
      </c>
      <c r="Y18" s="7">
        <f>(P$436-Tabell2[[#This Row],[Eldreandel-T]])*100/P$439</f>
        <v>51.222950029070006</v>
      </c>
      <c r="Z18" s="7">
        <f>100-(Q$436-Tabell2[[#This Row],[Sysselsettingsvekst10-T]])*100/Q$439</f>
        <v>99.344273196536861</v>
      </c>
      <c r="AA18" s="7">
        <f>100-(R$436-Tabell2[[#This Row],[Yrkesaktivandel-T]])*100/R$439</f>
        <v>30.841670658675582</v>
      </c>
      <c r="AB18" s="7">
        <f>100-(S$436-Tabell2[[#This Row],[Inntekt-T]])*100/S$439</f>
        <v>63.687021128395635</v>
      </c>
      <c r="AC18" s="55">
        <f>Tabell2[[#This Row],[NIBR11-I]]*Vekter!$B$3</f>
        <v>18</v>
      </c>
      <c r="AD18" s="55">
        <f>Tabell2[[#This Row],[ReisetidOslo-I]]*Vekter!$C$3</f>
        <v>10</v>
      </c>
      <c r="AE18" s="55">
        <f>Tabell2[[#This Row],[Beftettotal-I]]*Vekter!$D$3</f>
        <v>4.5905325946817461</v>
      </c>
      <c r="AF18" s="55">
        <f>Tabell2[[#This Row],[Befvekst10-I]]*Vekter!$E$3</f>
        <v>15.365683996965627</v>
      </c>
      <c r="AG18" s="55">
        <f>Tabell2[[#This Row],[Kvinneandel-I]]*Vekter!$F$3</f>
        <v>2.0522253197861704</v>
      </c>
      <c r="AH18" s="55">
        <f>Tabell2[[#This Row],[Eldreandel-I]]*Vekter!$G$3</f>
        <v>2.5611475014535006</v>
      </c>
      <c r="AI18" s="55">
        <f>Tabell2[[#This Row],[Sysselsettingsvekst10-I]]*Vekter!$H$3</f>
        <v>9.9344273196536861</v>
      </c>
      <c r="AJ18" s="55">
        <f>Tabell2[[#This Row],[Yrkesaktivandel-I]]*Vekter!$J$3</f>
        <v>3.0841670658675584</v>
      </c>
      <c r="AK18" s="55">
        <f>Tabell2[[#This Row],[Inntekt-I]]*Vekter!$L$3</f>
        <v>6.3687021128395642</v>
      </c>
      <c r="AL18" s="56">
        <f>SUM(Tabell2[[#This Row],[NIBR11-v]:[Inntekt-v]])</f>
        <v>71.956885911247838</v>
      </c>
    </row>
    <row r="19" spans="1:38" x14ac:dyDescent="0.25">
      <c r="A19" s="1" t="s">
        <v>16</v>
      </c>
      <c r="B19">
        <f>'Rådata-K'!M18</f>
        <v>4</v>
      </c>
      <c r="C19" s="7">
        <f>'Rådata-K'!L18</f>
        <v>44.2833333333</v>
      </c>
      <c r="D19" s="34">
        <f>'Rådata-K'!N18</f>
        <v>205.44547782720045</v>
      </c>
      <c r="E19" s="34">
        <f>'Rådata-K'!O18</f>
        <v>0.11158109684947481</v>
      </c>
      <c r="F19" s="34">
        <f>'Rådata-K'!P18</f>
        <v>0.10457945151554913</v>
      </c>
      <c r="G19" s="34">
        <f>'Rådata-K'!Q18</f>
        <v>0.15588505445479595</v>
      </c>
      <c r="H19" s="34">
        <f>'Rådata-K'!R18</f>
        <v>0.27761688043028543</v>
      </c>
      <c r="I19" s="34">
        <f>'Rådata-K'!S18</f>
        <v>0.85552763819095479</v>
      </c>
      <c r="J19" s="22">
        <f>'Rådata-K'!K18</f>
        <v>390900</v>
      </c>
      <c r="K19" s="22">
        <f>Tabell2[[#This Row],[NIBR11]]</f>
        <v>4</v>
      </c>
      <c r="L19" s="32">
        <f>IF(Tabell2[[#This Row],[ReisetidOslo]]&lt;=C$434,C$434,IF(Tabell2[[#This Row],[ReisetidOslo]]&gt;=C$435,C$435,Tabell2[[#This Row],[ReisetidOslo]]))</f>
        <v>52.54</v>
      </c>
      <c r="M19" s="32">
        <f>IF(Tabell2[[#This Row],[Beftettotal]]&lt;=D$434,D$434,IF(Tabell2[[#This Row],[Beftettotal]]&gt;=D$435,D$435,Tabell2[[#This Row],[Beftettotal]]))</f>
        <v>130.60042534801397</v>
      </c>
      <c r="N19" s="34">
        <f>IF(Tabell2[[#This Row],[Befvekst10]]&lt;=E$434,E$434,IF(Tabell2[[#This Row],[Befvekst10]]&gt;=E$435,E$435,Tabell2[[#This Row],[Befvekst10]]))</f>
        <v>0.11158109684947481</v>
      </c>
      <c r="O19" s="34">
        <f>IF(Tabell2[[#This Row],[Kvinneandel]]&lt;=F$434,F$434,IF(Tabell2[[#This Row],[Kvinneandel]]&gt;=F$435,F$435,Tabell2[[#This Row],[Kvinneandel]]))</f>
        <v>0.10457945151554913</v>
      </c>
      <c r="P19" s="34">
        <f>IF(Tabell2[[#This Row],[Eldreandel]]&lt;=G$434,G$434,IF(Tabell2[[#This Row],[Eldreandel]]&gt;=G$435,G$435,Tabell2[[#This Row],[Eldreandel]]))</f>
        <v>0.15588505445479595</v>
      </c>
      <c r="Q19" s="34">
        <f>IF(Tabell2[[#This Row],[Sysselsettingsvekst10]]&lt;=H$434,H$434,IF(Tabell2[[#This Row],[Sysselsettingsvekst10]]&gt;=H$435,H$435,Tabell2[[#This Row],[Sysselsettingsvekst10]]))</f>
        <v>0.26635476409167841</v>
      </c>
      <c r="R19" s="34">
        <f>IF(Tabell2[[#This Row],[Yrkesaktivandel]]&lt;=I$434,I$434,IF(Tabell2[[#This Row],[Yrkesaktivandel]]&gt;=I$435,I$435,Tabell2[[#This Row],[Yrkesaktivandel]]))</f>
        <v>0.85552763819095479</v>
      </c>
      <c r="S19" s="22">
        <f>IF(Tabell2[[#This Row],[Inntekt]]&lt;=J$434,J$434,IF(Tabell2[[#This Row],[Inntekt]]&gt;=J$435,J$435,Tabell2[[#This Row],[Inntekt]]))</f>
        <v>390900</v>
      </c>
      <c r="T19" s="22">
        <f>IF(Tabell2[[#This Row],[NIBR11-T]]&lt;=K$437,100,IF(Tabell2[[#This Row],[NIBR11-T]]&gt;=K$436,0,100*(K$436-Tabell2[[#This Row],[NIBR11-T]])/K$439))</f>
        <v>70</v>
      </c>
      <c r="U19" s="7">
        <f>IF(Tabell2[[#This Row],[ReisetidOslo-T]]&lt;=L$437,100,IF(Tabell2[[#This Row],[ReisetidOslo-T]]&gt;=L$436,0,100*(L$436-Tabell2[[#This Row],[ReisetidOslo-T]])/L$439))</f>
        <v>100</v>
      </c>
      <c r="V19" s="7">
        <f>100-(M$436-Tabell2[[#This Row],[Beftettotal-T]])*100/M$439</f>
        <v>100</v>
      </c>
      <c r="W19" s="7">
        <f>100-(N$436-Tabell2[[#This Row],[Befvekst10-T]])*100/N$439</f>
        <v>75.605986205402218</v>
      </c>
      <c r="X19" s="7">
        <f>100-(O$436-Tabell2[[#This Row],[Kvinneandel-T]])*100/O$439</f>
        <v>37.230593610072361</v>
      </c>
      <c r="Y19" s="7">
        <f>(P$436-Tabell2[[#This Row],[Eldreandel-T]])*100/P$439</f>
        <v>64.101349870775337</v>
      </c>
      <c r="Z19" s="7">
        <f>100-(Q$436-Tabell2[[#This Row],[Sysselsettingsvekst10-T]])*100/Q$439</f>
        <v>100</v>
      </c>
      <c r="AA19" s="7">
        <f>100-(R$436-Tabell2[[#This Row],[Yrkesaktivandel-T]])*100/R$439</f>
        <v>18.1090228658407</v>
      </c>
      <c r="AB19" s="7">
        <f>100-(S$436-Tabell2[[#This Row],[Inntekt-T]])*100/S$439</f>
        <v>68.794984908288825</v>
      </c>
      <c r="AC19" s="55">
        <f>Tabell2[[#This Row],[NIBR11-I]]*Vekter!$B$3</f>
        <v>14</v>
      </c>
      <c r="AD19" s="55">
        <f>Tabell2[[#This Row],[ReisetidOslo-I]]*Vekter!$C$3</f>
        <v>10</v>
      </c>
      <c r="AE19" s="55">
        <f>Tabell2[[#This Row],[Beftettotal-I]]*Vekter!$D$3</f>
        <v>10</v>
      </c>
      <c r="AF19" s="55">
        <f>Tabell2[[#This Row],[Befvekst10-I]]*Vekter!$E$3</f>
        <v>15.121197241080445</v>
      </c>
      <c r="AG19" s="55">
        <f>Tabell2[[#This Row],[Kvinneandel-I]]*Vekter!$F$3</f>
        <v>1.8615296805036181</v>
      </c>
      <c r="AH19" s="55">
        <f>Tabell2[[#This Row],[Eldreandel-I]]*Vekter!$G$3</f>
        <v>3.2050674935387669</v>
      </c>
      <c r="AI19" s="55">
        <f>Tabell2[[#This Row],[Sysselsettingsvekst10-I]]*Vekter!$H$3</f>
        <v>10</v>
      </c>
      <c r="AJ19" s="55">
        <f>Tabell2[[#This Row],[Yrkesaktivandel-I]]*Vekter!$J$3</f>
        <v>1.81090228658407</v>
      </c>
      <c r="AK19" s="55">
        <f>Tabell2[[#This Row],[Inntekt-I]]*Vekter!$L$3</f>
        <v>6.8794984908288832</v>
      </c>
      <c r="AL19" s="56">
        <f>SUM(Tabell2[[#This Row],[NIBR11-v]:[Inntekt-v]])</f>
        <v>72.87819519253577</v>
      </c>
    </row>
    <row r="20" spans="1:38" x14ac:dyDescent="0.25">
      <c r="A20" s="1" t="s">
        <v>17</v>
      </c>
      <c r="B20">
        <f>'Rådata-K'!M19</f>
        <v>4</v>
      </c>
      <c r="C20" s="7">
        <f>'Rådata-K'!L19</f>
        <v>43.183333333299998</v>
      </c>
      <c r="D20" s="34">
        <f>'Rådata-K'!N19</f>
        <v>19.847447073474473</v>
      </c>
      <c r="E20" s="34">
        <f>'Rådata-K'!O19</f>
        <v>0.26865671641791056</v>
      </c>
      <c r="F20" s="34">
        <f>'Rådata-K'!P19</f>
        <v>0.12137254901960784</v>
      </c>
      <c r="G20" s="34">
        <f>'Rådata-K'!Q19</f>
        <v>0.11941176470588236</v>
      </c>
      <c r="H20" s="34">
        <f>'Rådata-K'!R19</f>
        <v>0.27237354085603105</v>
      </c>
      <c r="I20" s="34">
        <f>'Rådata-K'!S19</f>
        <v>0.89174917491749173</v>
      </c>
      <c r="J20" s="22">
        <f>'Rådata-K'!K19</f>
        <v>388400</v>
      </c>
      <c r="K20" s="22">
        <f>Tabell2[[#This Row],[NIBR11]]</f>
        <v>4</v>
      </c>
      <c r="L20" s="32">
        <f>IF(Tabell2[[#This Row],[ReisetidOslo]]&lt;=C$434,C$434,IF(Tabell2[[#This Row],[ReisetidOslo]]&gt;=C$435,C$435,Tabell2[[#This Row],[ReisetidOslo]]))</f>
        <v>52.54</v>
      </c>
      <c r="M20" s="32">
        <f>IF(Tabell2[[#This Row],[Beftettotal]]&lt;=D$434,D$434,IF(Tabell2[[#This Row],[Beftettotal]]&gt;=D$435,D$435,Tabell2[[#This Row],[Beftettotal]]))</f>
        <v>19.847447073474473</v>
      </c>
      <c r="N20" s="34">
        <f>IF(Tabell2[[#This Row],[Befvekst10]]&lt;=E$434,E$434,IF(Tabell2[[#This Row],[Befvekst10]]&gt;=E$435,E$435,Tabell2[[#This Row],[Befvekst10]]))</f>
        <v>0.17216678769030419</v>
      </c>
      <c r="O20" s="34">
        <f>IF(Tabell2[[#This Row],[Kvinneandel]]&lt;=F$434,F$434,IF(Tabell2[[#This Row],[Kvinneandel]]&gt;=F$435,F$435,Tabell2[[#This Row],[Kvinneandel]]))</f>
        <v>0.12137254901960784</v>
      </c>
      <c r="P20" s="34">
        <f>IF(Tabell2[[#This Row],[Eldreandel]]&lt;=G$434,G$434,IF(Tabell2[[#This Row],[Eldreandel]]&gt;=G$435,G$435,Tabell2[[#This Row],[Eldreandel]]))</f>
        <v>0.12312339657223466</v>
      </c>
      <c r="Q20" s="34">
        <f>IF(Tabell2[[#This Row],[Sysselsettingsvekst10]]&lt;=H$434,H$434,IF(Tabell2[[#This Row],[Sysselsettingsvekst10]]&gt;=H$435,H$435,Tabell2[[#This Row],[Sysselsettingsvekst10]]))</f>
        <v>0.26635476409167841</v>
      </c>
      <c r="R20" s="34">
        <f>IF(Tabell2[[#This Row],[Yrkesaktivandel]]&lt;=I$434,I$434,IF(Tabell2[[#This Row],[Yrkesaktivandel]]&gt;=I$435,I$435,Tabell2[[#This Row],[Yrkesaktivandel]]))</f>
        <v>0.89174917491749173</v>
      </c>
      <c r="S20" s="22">
        <f>IF(Tabell2[[#This Row],[Inntekt]]&lt;=J$434,J$434,IF(Tabell2[[#This Row],[Inntekt]]&gt;=J$435,J$435,Tabell2[[#This Row],[Inntekt]]))</f>
        <v>388400</v>
      </c>
      <c r="T20" s="22">
        <f>IF(Tabell2[[#This Row],[NIBR11-T]]&lt;=K$437,100,IF(Tabell2[[#This Row],[NIBR11-T]]&gt;=K$436,0,100*(K$436-Tabell2[[#This Row],[NIBR11-T]])/K$439))</f>
        <v>70</v>
      </c>
      <c r="U20" s="7">
        <f>IF(Tabell2[[#This Row],[ReisetidOslo-T]]&lt;=L$437,100,IF(Tabell2[[#This Row],[ReisetidOslo-T]]&gt;=L$436,0,100*(L$436-Tabell2[[#This Row],[ReisetidOslo-T]])/L$439))</f>
        <v>100</v>
      </c>
      <c r="V20" s="7">
        <f>100-(M$436-Tabell2[[#This Row],[Beftettotal-T]])*100/M$439</f>
        <v>14.324732247859785</v>
      </c>
      <c r="W20" s="7">
        <f>100-(N$436-Tabell2[[#This Row],[Befvekst10-T]])*100/N$439</f>
        <v>100</v>
      </c>
      <c r="X20" s="7">
        <f>100-(O$436-Tabell2[[#This Row],[Kvinneandel-T]])*100/O$439</f>
        <v>81.606042576779515</v>
      </c>
      <c r="Y20" s="7">
        <f>(P$436-Tabell2[[#This Row],[Eldreandel-T]])*100/P$439</f>
        <v>100</v>
      </c>
      <c r="Z20" s="7">
        <f>100-(Q$436-Tabell2[[#This Row],[Sysselsettingsvekst10-T]])*100/Q$439</f>
        <v>100</v>
      </c>
      <c r="AA20" s="7">
        <f>100-(R$436-Tabell2[[#This Row],[Yrkesaktivandel-T]])*100/R$439</f>
        <v>45.95946358088154</v>
      </c>
      <c r="AB20" s="7">
        <f>100-(S$436-Tabell2[[#This Row],[Inntekt-T]])*100/S$439</f>
        <v>65.892732760622238</v>
      </c>
      <c r="AC20" s="55">
        <f>Tabell2[[#This Row],[NIBR11-I]]*Vekter!$B$3</f>
        <v>14</v>
      </c>
      <c r="AD20" s="55">
        <f>Tabell2[[#This Row],[ReisetidOslo-I]]*Vekter!$C$3</f>
        <v>10</v>
      </c>
      <c r="AE20" s="55">
        <f>Tabell2[[#This Row],[Beftettotal-I]]*Vekter!$D$3</f>
        <v>1.4324732247859786</v>
      </c>
      <c r="AF20" s="55">
        <f>Tabell2[[#This Row],[Befvekst10-I]]*Vekter!$E$3</f>
        <v>20</v>
      </c>
      <c r="AG20" s="55">
        <f>Tabell2[[#This Row],[Kvinneandel-I]]*Vekter!$F$3</f>
        <v>4.0803021288389756</v>
      </c>
      <c r="AH20" s="55">
        <f>Tabell2[[#This Row],[Eldreandel-I]]*Vekter!$G$3</f>
        <v>5</v>
      </c>
      <c r="AI20" s="55">
        <f>Tabell2[[#This Row],[Sysselsettingsvekst10-I]]*Vekter!$H$3</f>
        <v>10</v>
      </c>
      <c r="AJ20" s="55">
        <f>Tabell2[[#This Row],[Yrkesaktivandel-I]]*Vekter!$J$3</f>
        <v>4.5959463580881543</v>
      </c>
      <c r="AK20" s="55">
        <f>Tabell2[[#This Row],[Inntekt-I]]*Vekter!$L$3</f>
        <v>6.5892732760622241</v>
      </c>
      <c r="AL20" s="56">
        <f>SUM(Tabell2[[#This Row],[NIBR11-v]:[Inntekt-v]])</f>
        <v>75.697994987775346</v>
      </c>
    </row>
    <row r="21" spans="1:38" x14ac:dyDescent="0.25">
      <c r="A21" s="1" t="s">
        <v>18</v>
      </c>
      <c r="B21">
        <f>'Rådata-K'!M20</f>
        <v>1</v>
      </c>
      <c r="C21" s="7">
        <f>'Rådata-K'!L20</f>
        <v>33.183333333299998</v>
      </c>
      <c r="D21" s="34">
        <f>'Rådata-K'!N20</f>
        <v>38.058266258280511</v>
      </c>
      <c r="E21" s="34">
        <f>'Rådata-K'!O20</f>
        <v>0.17248189598420005</v>
      </c>
      <c r="F21" s="34">
        <f>'Rådata-K'!P20</f>
        <v>0.12315178738536403</v>
      </c>
      <c r="G21" s="34">
        <f>'Rådata-K'!Q20</f>
        <v>0.12202882275874977</v>
      </c>
      <c r="H21" s="34">
        <f>'Rådata-K'!R20</f>
        <v>0.20668693009118533</v>
      </c>
      <c r="I21" s="34">
        <f>'Rådata-K'!S20</f>
        <v>0.84502297090352219</v>
      </c>
      <c r="J21" s="22">
        <f>'Rådata-K'!K20</f>
        <v>376100</v>
      </c>
      <c r="K21" s="22">
        <f>Tabell2[[#This Row],[NIBR11]]</f>
        <v>1</v>
      </c>
      <c r="L21" s="32">
        <f>IF(Tabell2[[#This Row],[ReisetidOslo]]&lt;=C$434,C$434,IF(Tabell2[[#This Row],[ReisetidOslo]]&gt;=C$435,C$435,Tabell2[[#This Row],[ReisetidOslo]]))</f>
        <v>52.54</v>
      </c>
      <c r="M21" s="32">
        <f>IF(Tabell2[[#This Row],[Beftettotal]]&lt;=D$434,D$434,IF(Tabell2[[#This Row],[Beftettotal]]&gt;=D$435,D$435,Tabell2[[#This Row],[Beftettotal]]))</f>
        <v>38.058266258280511</v>
      </c>
      <c r="N21" s="34">
        <f>IF(Tabell2[[#This Row],[Befvekst10]]&lt;=E$434,E$434,IF(Tabell2[[#This Row],[Befvekst10]]&gt;=E$435,E$435,Tabell2[[#This Row],[Befvekst10]]))</f>
        <v>0.17216678769030419</v>
      </c>
      <c r="O21" s="34">
        <f>IF(Tabell2[[#This Row],[Kvinneandel]]&lt;=F$434,F$434,IF(Tabell2[[#This Row],[Kvinneandel]]&gt;=F$435,F$435,Tabell2[[#This Row],[Kvinneandel]]))</f>
        <v>0.12315178738536403</v>
      </c>
      <c r="P21" s="34">
        <f>IF(Tabell2[[#This Row],[Eldreandel]]&lt;=G$434,G$434,IF(Tabell2[[#This Row],[Eldreandel]]&gt;=G$435,G$435,Tabell2[[#This Row],[Eldreandel]]))</f>
        <v>0.12312339657223466</v>
      </c>
      <c r="Q21" s="34">
        <f>IF(Tabell2[[#This Row],[Sysselsettingsvekst10]]&lt;=H$434,H$434,IF(Tabell2[[#This Row],[Sysselsettingsvekst10]]&gt;=H$435,H$435,Tabell2[[#This Row],[Sysselsettingsvekst10]]))</f>
        <v>0.20668693009118533</v>
      </c>
      <c r="R21" s="34">
        <f>IF(Tabell2[[#This Row],[Yrkesaktivandel]]&lt;=I$434,I$434,IF(Tabell2[[#This Row],[Yrkesaktivandel]]&gt;=I$435,I$435,Tabell2[[#This Row],[Yrkesaktivandel]]))</f>
        <v>0.84502297090352219</v>
      </c>
      <c r="S21" s="22">
        <f>IF(Tabell2[[#This Row],[Inntekt]]&lt;=J$434,J$434,IF(Tabell2[[#This Row],[Inntekt]]&gt;=J$435,J$435,Tabell2[[#This Row],[Inntekt]]))</f>
        <v>376100</v>
      </c>
      <c r="T21" s="22">
        <f>IF(Tabell2[[#This Row],[NIBR11-T]]&lt;=K$437,100,IF(Tabell2[[#This Row],[NIBR11-T]]&gt;=K$436,0,100*(K$436-Tabell2[[#This Row],[NIBR11-T]])/K$439))</f>
        <v>100</v>
      </c>
      <c r="U21" s="7">
        <f>IF(Tabell2[[#This Row],[ReisetidOslo-T]]&lt;=L$437,100,IF(Tabell2[[#This Row],[ReisetidOslo-T]]&gt;=L$436,0,100*(L$436-Tabell2[[#This Row],[ReisetidOslo-T]])/L$439))</f>
        <v>100</v>
      </c>
      <c r="V21" s="7">
        <f>100-(M$436-Tabell2[[#This Row],[Beftettotal-T]])*100/M$439</f>
        <v>28.412089842673467</v>
      </c>
      <c r="W21" s="7">
        <f>100-(N$436-Tabell2[[#This Row],[Befvekst10-T]])*100/N$439</f>
        <v>100</v>
      </c>
      <c r="X21" s="7">
        <f>100-(O$436-Tabell2[[#This Row],[Kvinneandel-T]])*100/O$439</f>
        <v>86.307646987766759</v>
      </c>
      <c r="Y21" s="7">
        <f>(P$436-Tabell2[[#This Row],[Eldreandel-T]])*100/P$439</f>
        <v>100</v>
      </c>
      <c r="Z21" s="7">
        <f>100-(Q$436-Tabell2[[#This Row],[Sysselsettingsvekst10-T]])*100/Q$439</f>
        <v>82.246378691580901</v>
      </c>
      <c r="AA21" s="7">
        <f>100-(R$436-Tabell2[[#This Row],[Yrkesaktivandel-T]])*100/R$439</f>
        <v>10.032070865470914</v>
      </c>
      <c r="AB21" s="7">
        <f>100-(S$436-Tabell2[[#This Row],[Inntekt-T]])*100/S$439</f>
        <v>51.61365219410262</v>
      </c>
      <c r="AC21" s="55">
        <f>Tabell2[[#This Row],[NIBR11-I]]*Vekter!$B$3</f>
        <v>20</v>
      </c>
      <c r="AD21" s="55">
        <f>Tabell2[[#This Row],[ReisetidOslo-I]]*Vekter!$C$3</f>
        <v>10</v>
      </c>
      <c r="AE21" s="55">
        <f>Tabell2[[#This Row],[Beftettotal-I]]*Vekter!$D$3</f>
        <v>2.8412089842673467</v>
      </c>
      <c r="AF21" s="55">
        <f>Tabell2[[#This Row],[Befvekst10-I]]*Vekter!$E$3</f>
        <v>20</v>
      </c>
      <c r="AG21" s="55">
        <f>Tabell2[[#This Row],[Kvinneandel-I]]*Vekter!$F$3</f>
        <v>4.3153823493883383</v>
      </c>
      <c r="AH21" s="55">
        <f>Tabell2[[#This Row],[Eldreandel-I]]*Vekter!$G$3</f>
        <v>5</v>
      </c>
      <c r="AI21" s="55">
        <f>Tabell2[[#This Row],[Sysselsettingsvekst10-I]]*Vekter!$H$3</f>
        <v>8.2246378691580908</v>
      </c>
      <c r="AJ21" s="55">
        <f>Tabell2[[#This Row],[Yrkesaktivandel-I]]*Vekter!$J$3</f>
        <v>1.0032070865470915</v>
      </c>
      <c r="AK21" s="55">
        <f>Tabell2[[#This Row],[Inntekt-I]]*Vekter!$L$3</f>
        <v>5.1613652194102624</v>
      </c>
      <c r="AL21" s="56">
        <f>SUM(Tabell2[[#This Row],[NIBR11-v]:[Inntekt-v]])</f>
        <v>76.54580150877112</v>
      </c>
    </row>
    <row r="22" spans="1:38" x14ac:dyDescent="0.25">
      <c r="A22" s="2" t="s">
        <v>19</v>
      </c>
      <c r="B22">
        <f>'Rådata-K'!M21</f>
        <v>1</v>
      </c>
      <c r="C22" s="7">
        <f>'Rådata-K'!L21</f>
        <v>28.516666666700001</v>
      </c>
      <c r="D22" s="34">
        <f>'Rådata-K'!N21</f>
        <v>121.74367395685601</v>
      </c>
      <c r="E22" s="34">
        <f>'Rådata-K'!O21</f>
        <v>0.25558121632024644</v>
      </c>
      <c r="F22" s="34">
        <f>'Rådata-K'!P21</f>
        <v>0.11563458001226241</v>
      </c>
      <c r="G22" s="34">
        <f>'Rådata-K'!Q21</f>
        <v>0.12728387492335991</v>
      </c>
      <c r="H22" s="34">
        <f>'Rådata-K'!R21</f>
        <v>0.58598003629764062</v>
      </c>
      <c r="I22" s="34">
        <f>'Rådata-K'!S21</f>
        <v>0.90140097643812356</v>
      </c>
      <c r="J22" s="22">
        <f>'Rådata-K'!K21</f>
        <v>420800</v>
      </c>
      <c r="K22" s="22">
        <f>Tabell2[[#This Row],[NIBR11]]</f>
        <v>1</v>
      </c>
      <c r="L22" s="32">
        <f>IF(Tabell2[[#This Row],[ReisetidOslo]]&lt;=C$434,C$434,IF(Tabell2[[#This Row],[ReisetidOslo]]&gt;=C$435,C$435,Tabell2[[#This Row],[ReisetidOslo]]))</f>
        <v>52.54</v>
      </c>
      <c r="M22" s="32">
        <f>IF(Tabell2[[#This Row],[Beftettotal]]&lt;=D$434,D$434,IF(Tabell2[[#This Row],[Beftettotal]]&gt;=D$435,D$435,Tabell2[[#This Row],[Beftettotal]]))</f>
        <v>121.74367395685601</v>
      </c>
      <c r="N22" s="34">
        <f>IF(Tabell2[[#This Row],[Befvekst10]]&lt;=E$434,E$434,IF(Tabell2[[#This Row],[Befvekst10]]&gt;=E$435,E$435,Tabell2[[#This Row],[Befvekst10]]))</f>
        <v>0.17216678769030419</v>
      </c>
      <c r="O22" s="34">
        <f>IF(Tabell2[[#This Row],[Kvinneandel]]&lt;=F$434,F$434,IF(Tabell2[[#This Row],[Kvinneandel]]&gt;=F$435,F$435,Tabell2[[#This Row],[Kvinneandel]]))</f>
        <v>0.11563458001226241</v>
      </c>
      <c r="P22" s="34">
        <f>IF(Tabell2[[#This Row],[Eldreandel]]&lt;=G$434,G$434,IF(Tabell2[[#This Row],[Eldreandel]]&gt;=G$435,G$435,Tabell2[[#This Row],[Eldreandel]]))</f>
        <v>0.12728387492335991</v>
      </c>
      <c r="Q22" s="34">
        <f>IF(Tabell2[[#This Row],[Sysselsettingsvekst10]]&lt;=H$434,H$434,IF(Tabell2[[#This Row],[Sysselsettingsvekst10]]&gt;=H$435,H$435,Tabell2[[#This Row],[Sysselsettingsvekst10]]))</f>
        <v>0.26635476409167841</v>
      </c>
      <c r="R22" s="34">
        <f>IF(Tabell2[[#This Row],[Yrkesaktivandel]]&lt;=I$434,I$434,IF(Tabell2[[#This Row],[Yrkesaktivandel]]&gt;=I$435,I$435,Tabell2[[#This Row],[Yrkesaktivandel]]))</f>
        <v>0.90140097643812356</v>
      </c>
      <c r="S22" s="22">
        <f>IF(Tabell2[[#This Row],[Inntekt]]&lt;=J$434,J$434,IF(Tabell2[[#This Row],[Inntekt]]&gt;=J$435,J$435,Tabell2[[#This Row],[Inntekt]]))</f>
        <v>417780</v>
      </c>
      <c r="T22" s="22">
        <f>IF(Tabell2[[#This Row],[NIBR11-T]]&lt;=K$437,100,IF(Tabell2[[#This Row],[NIBR11-T]]&gt;=K$436,0,100*(K$436-Tabell2[[#This Row],[NIBR11-T]])/K$439))</f>
        <v>100</v>
      </c>
      <c r="U22" s="7">
        <f>IF(Tabell2[[#This Row],[ReisetidOslo-T]]&lt;=L$437,100,IF(Tabell2[[#This Row],[ReisetidOslo-T]]&gt;=L$436,0,100*(L$436-Tabell2[[#This Row],[ReisetidOslo-T]])/L$439))</f>
        <v>100</v>
      </c>
      <c r="V22" s="7">
        <f>100-(M$436-Tabell2[[#This Row],[Beftettotal-T]])*100/M$439</f>
        <v>93.148675921196102</v>
      </c>
      <c r="W22" s="7">
        <f>100-(N$436-Tabell2[[#This Row],[Befvekst10-T]])*100/N$439</f>
        <v>100</v>
      </c>
      <c r="X22" s="7">
        <f>100-(O$436-Tabell2[[#This Row],[Kvinneandel-T]])*100/O$439</f>
        <v>66.443565803422828</v>
      </c>
      <c r="Y22" s="7">
        <f>(P$436-Tabell2[[#This Row],[Eldreandel-T]])*100/P$439</f>
        <v>95.441147782183521</v>
      </c>
      <c r="Z22" s="7">
        <f>100-(Q$436-Tabell2[[#This Row],[Sysselsettingsvekst10-T]])*100/Q$439</f>
        <v>100</v>
      </c>
      <c r="AA22" s="7">
        <f>100-(R$436-Tabell2[[#This Row],[Yrkesaktivandel-T]])*100/R$439</f>
        <v>53.380654130391335</v>
      </c>
      <c r="AB22" s="7">
        <f>100-(S$436-Tabell2[[#This Row],[Inntekt-T]])*100/S$439</f>
        <v>100</v>
      </c>
      <c r="AC22" s="55">
        <f>Tabell2[[#This Row],[NIBR11-I]]*Vekter!$B$3</f>
        <v>20</v>
      </c>
      <c r="AD22" s="55">
        <f>Tabell2[[#This Row],[ReisetidOslo-I]]*Vekter!$C$3</f>
        <v>10</v>
      </c>
      <c r="AE22" s="55">
        <f>Tabell2[[#This Row],[Beftettotal-I]]*Vekter!$D$3</f>
        <v>9.3148675921196098</v>
      </c>
      <c r="AF22" s="55">
        <f>Tabell2[[#This Row],[Befvekst10-I]]*Vekter!$E$3</f>
        <v>20</v>
      </c>
      <c r="AG22" s="55">
        <f>Tabell2[[#This Row],[Kvinneandel-I]]*Vekter!$F$3</f>
        <v>3.3221782901711414</v>
      </c>
      <c r="AH22" s="55">
        <f>Tabell2[[#This Row],[Eldreandel-I]]*Vekter!$G$3</f>
        <v>4.7720573891091762</v>
      </c>
      <c r="AI22" s="55">
        <f>Tabell2[[#This Row],[Sysselsettingsvekst10-I]]*Vekter!$H$3</f>
        <v>10</v>
      </c>
      <c r="AJ22" s="55">
        <f>Tabell2[[#This Row],[Yrkesaktivandel-I]]*Vekter!$J$3</f>
        <v>5.3380654130391338</v>
      </c>
      <c r="AK22" s="55">
        <f>Tabell2[[#This Row],[Inntekt-I]]*Vekter!$L$3</f>
        <v>10</v>
      </c>
      <c r="AL22" s="56">
        <f>SUM(Tabell2[[#This Row],[NIBR11-v]:[Inntekt-v]])</f>
        <v>92.74716868443906</v>
      </c>
    </row>
    <row r="23" spans="1:38" x14ac:dyDescent="0.25">
      <c r="A23" s="2" t="s">
        <v>20</v>
      </c>
      <c r="B23">
        <f>'Rådata-K'!M22</f>
        <v>1</v>
      </c>
      <c r="C23" s="7">
        <f>'Rådata-K'!L22</f>
        <v>21.816666666700002</v>
      </c>
      <c r="D23" s="34">
        <f>'Rådata-K'!N22</f>
        <v>179.87675949978856</v>
      </c>
      <c r="E23" s="34">
        <f>'Rådata-K'!O22</f>
        <v>0.11100746268656714</v>
      </c>
      <c r="F23" s="34">
        <f>'Rådata-K'!P22</f>
        <v>0.11452560873215785</v>
      </c>
      <c r="G23" s="34">
        <f>'Rådata-K'!Q22</f>
        <v>0.13289672544080605</v>
      </c>
      <c r="H23" s="34">
        <f>'Rådata-K'!R22</f>
        <v>0.23736149584487531</v>
      </c>
      <c r="I23" s="34">
        <f>'Rådata-K'!S22</f>
        <v>0.89031690140845066</v>
      </c>
      <c r="J23" s="22">
        <f>'Rådata-K'!K22</f>
        <v>434900</v>
      </c>
      <c r="K23" s="22">
        <f>Tabell2[[#This Row],[NIBR11]]</f>
        <v>1</v>
      </c>
      <c r="L23" s="32">
        <f>IF(Tabell2[[#This Row],[ReisetidOslo]]&lt;=C$434,C$434,IF(Tabell2[[#This Row],[ReisetidOslo]]&gt;=C$435,C$435,Tabell2[[#This Row],[ReisetidOslo]]))</f>
        <v>52.54</v>
      </c>
      <c r="M23" s="32">
        <f>IF(Tabell2[[#This Row],[Beftettotal]]&lt;=D$434,D$434,IF(Tabell2[[#This Row],[Beftettotal]]&gt;=D$435,D$435,Tabell2[[#This Row],[Beftettotal]]))</f>
        <v>130.60042534801397</v>
      </c>
      <c r="N23" s="34">
        <f>IF(Tabell2[[#This Row],[Befvekst10]]&lt;=E$434,E$434,IF(Tabell2[[#This Row],[Befvekst10]]&gt;=E$435,E$435,Tabell2[[#This Row],[Befvekst10]]))</f>
        <v>0.11100746268656714</v>
      </c>
      <c r="O23" s="34">
        <f>IF(Tabell2[[#This Row],[Kvinneandel]]&lt;=F$434,F$434,IF(Tabell2[[#This Row],[Kvinneandel]]&gt;=F$435,F$435,Tabell2[[#This Row],[Kvinneandel]]))</f>
        <v>0.11452560873215785</v>
      </c>
      <c r="P23" s="34">
        <f>IF(Tabell2[[#This Row],[Eldreandel]]&lt;=G$434,G$434,IF(Tabell2[[#This Row],[Eldreandel]]&gt;=G$435,G$435,Tabell2[[#This Row],[Eldreandel]]))</f>
        <v>0.13289672544080605</v>
      </c>
      <c r="Q23" s="34">
        <f>IF(Tabell2[[#This Row],[Sysselsettingsvekst10]]&lt;=H$434,H$434,IF(Tabell2[[#This Row],[Sysselsettingsvekst10]]&gt;=H$435,H$435,Tabell2[[#This Row],[Sysselsettingsvekst10]]))</f>
        <v>0.23736149584487531</v>
      </c>
      <c r="R23" s="34">
        <f>IF(Tabell2[[#This Row],[Yrkesaktivandel]]&lt;=I$434,I$434,IF(Tabell2[[#This Row],[Yrkesaktivandel]]&gt;=I$435,I$435,Tabell2[[#This Row],[Yrkesaktivandel]]))</f>
        <v>0.89031690140845066</v>
      </c>
      <c r="S23" s="22">
        <f>IF(Tabell2[[#This Row],[Inntekt]]&lt;=J$434,J$434,IF(Tabell2[[#This Row],[Inntekt]]&gt;=J$435,J$435,Tabell2[[#This Row],[Inntekt]]))</f>
        <v>417780</v>
      </c>
      <c r="T23" s="22">
        <f>IF(Tabell2[[#This Row],[NIBR11-T]]&lt;=K$437,100,IF(Tabell2[[#This Row],[NIBR11-T]]&gt;=K$436,0,100*(K$436-Tabell2[[#This Row],[NIBR11-T]])/K$439))</f>
        <v>100</v>
      </c>
      <c r="U23" s="7">
        <f>IF(Tabell2[[#This Row],[ReisetidOslo-T]]&lt;=L$437,100,IF(Tabell2[[#This Row],[ReisetidOslo-T]]&gt;=L$436,0,100*(L$436-Tabell2[[#This Row],[ReisetidOslo-T]])/L$439))</f>
        <v>100</v>
      </c>
      <c r="V23" s="7">
        <f>100-(M$436-Tabell2[[#This Row],[Beftettotal-T]])*100/M$439</f>
        <v>100</v>
      </c>
      <c r="W23" s="7">
        <f>100-(N$436-Tabell2[[#This Row],[Befvekst10-T]])*100/N$439</f>
        <v>75.375020122671799</v>
      </c>
      <c r="X23" s="7">
        <f>100-(O$436-Tabell2[[#This Row],[Kvinneandel-T]])*100/O$439</f>
        <v>63.513129745755073</v>
      </c>
      <c r="Y23" s="7">
        <f>(P$436-Tabell2[[#This Row],[Eldreandel-T]])*100/P$439</f>
        <v>89.290855947877745</v>
      </c>
      <c r="Z23" s="7">
        <f>100-(Q$436-Tabell2[[#This Row],[Sysselsettingsvekst10-T]])*100/Q$439</f>
        <v>91.373316736402728</v>
      </c>
      <c r="AA23" s="7">
        <f>100-(R$436-Tabell2[[#This Row],[Yrkesaktivandel-T]])*100/R$439</f>
        <v>44.858200297867718</v>
      </c>
      <c r="AB23" s="7">
        <f>100-(S$436-Tabell2[[#This Row],[Inntekt-T]])*100/S$439</f>
        <v>100</v>
      </c>
      <c r="AC23" s="55">
        <f>Tabell2[[#This Row],[NIBR11-I]]*Vekter!$B$3</f>
        <v>20</v>
      </c>
      <c r="AD23" s="55">
        <f>Tabell2[[#This Row],[ReisetidOslo-I]]*Vekter!$C$3</f>
        <v>10</v>
      </c>
      <c r="AE23" s="55">
        <f>Tabell2[[#This Row],[Beftettotal-I]]*Vekter!$D$3</f>
        <v>10</v>
      </c>
      <c r="AF23" s="55">
        <f>Tabell2[[#This Row],[Befvekst10-I]]*Vekter!$E$3</f>
        <v>15.07500402453436</v>
      </c>
      <c r="AG23" s="55">
        <f>Tabell2[[#This Row],[Kvinneandel-I]]*Vekter!$F$3</f>
        <v>3.1756564872877537</v>
      </c>
      <c r="AH23" s="55">
        <f>Tabell2[[#This Row],[Eldreandel-I]]*Vekter!$G$3</f>
        <v>4.4645427973938876</v>
      </c>
      <c r="AI23" s="55">
        <f>Tabell2[[#This Row],[Sysselsettingsvekst10-I]]*Vekter!$H$3</f>
        <v>9.1373316736402739</v>
      </c>
      <c r="AJ23" s="55">
        <f>Tabell2[[#This Row],[Yrkesaktivandel-I]]*Vekter!$J$3</f>
        <v>4.4858200297867716</v>
      </c>
      <c r="AK23" s="55">
        <f>Tabell2[[#This Row],[Inntekt-I]]*Vekter!$L$3</f>
        <v>10</v>
      </c>
      <c r="AL23" s="56">
        <f>SUM(Tabell2[[#This Row],[NIBR11-v]:[Inntekt-v]])</f>
        <v>86.338355012643035</v>
      </c>
    </row>
    <row r="24" spans="1:38" x14ac:dyDescent="0.25">
      <c r="A24" s="2" t="s">
        <v>21</v>
      </c>
      <c r="B24">
        <f>'Rådata-K'!M23</f>
        <v>1</v>
      </c>
      <c r="C24" s="7">
        <f>'Rådata-K'!L23</f>
        <v>26.75</v>
      </c>
      <c r="D24" s="34">
        <f>'Rådata-K'!N23</f>
        <v>179.46653734238603</v>
      </c>
      <c r="E24" s="34">
        <f>'Rådata-K'!O23</f>
        <v>0.27853786622443333</v>
      </c>
      <c r="F24" s="34">
        <f>'Rådata-K'!P23</f>
        <v>0.13765335351024158</v>
      </c>
      <c r="G24" s="34">
        <f>'Rådata-K'!Q23</f>
        <v>0.12181808355401827</v>
      </c>
      <c r="H24" s="34">
        <f>'Rådata-K'!R23</f>
        <v>0.28707564026206067</v>
      </c>
      <c r="I24" s="34">
        <f>'Rådata-K'!S23</f>
        <v>0.85380537334890827</v>
      </c>
      <c r="J24" s="22">
        <f>'Rådata-K'!K23</f>
        <v>405800</v>
      </c>
      <c r="K24" s="22">
        <f>Tabell2[[#This Row],[NIBR11]]</f>
        <v>1</v>
      </c>
      <c r="L24" s="32">
        <f>IF(Tabell2[[#This Row],[ReisetidOslo]]&lt;=C$434,C$434,IF(Tabell2[[#This Row],[ReisetidOslo]]&gt;=C$435,C$435,Tabell2[[#This Row],[ReisetidOslo]]))</f>
        <v>52.54</v>
      </c>
      <c r="M24" s="32">
        <f>IF(Tabell2[[#This Row],[Beftettotal]]&lt;=D$434,D$434,IF(Tabell2[[#This Row],[Beftettotal]]&gt;=D$435,D$435,Tabell2[[#This Row],[Beftettotal]]))</f>
        <v>130.60042534801397</v>
      </c>
      <c r="N24" s="34">
        <f>IF(Tabell2[[#This Row],[Befvekst10]]&lt;=E$434,E$434,IF(Tabell2[[#This Row],[Befvekst10]]&gt;=E$435,E$435,Tabell2[[#This Row],[Befvekst10]]))</f>
        <v>0.17216678769030419</v>
      </c>
      <c r="O24" s="34">
        <f>IF(Tabell2[[#This Row],[Kvinneandel]]&lt;=F$434,F$434,IF(Tabell2[[#This Row],[Kvinneandel]]&gt;=F$435,F$435,Tabell2[[#This Row],[Kvinneandel]]))</f>
        <v>0.12833341426573511</v>
      </c>
      <c r="P24" s="34">
        <f>IF(Tabell2[[#This Row],[Eldreandel]]&lt;=G$434,G$434,IF(Tabell2[[#This Row],[Eldreandel]]&gt;=G$435,G$435,Tabell2[[#This Row],[Eldreandel]]))</f>
        <v>0.12312339657223466</v>
      </c>
      <c r="Q24" s="34">
        <f>IF(Tabell2[[#This Row],[Sysselsettingsvekst10]]&lt;=H$434,H$434,IF(Tabell2[[#This Row],[Sysselsettingsvekst10]]&gt;=H$435,H$435,Tabell2[[#This Row],[Sysselsettingsvekst10]]))</f>
        <v>0.26635476409167841</v>
      </c>
      <c r="R24" s="34">
        <f>IF(Tabell2[[#This Row],[Yrkesaktivandel]]&lt;=I$434,I$434,IF(Tabell2[[#This Row],[Yrkesaktivandel]]&gt;=I$435,I$435,Tabell2[[#This Row],[Yrkesaktivandel]]))</f>
        <v>0.85380537334890827</v>
      </c>
      <c r="S24" s="22">
        <f>IF(Tabell2[[#This Row],[Inntekt]]&lt;=J$434,J$434,IF(Tabell2[[#This Row],[Inntekt]]&gt;=J$435,J$435,Tabell2[[#This Row],[Inntekt]]))</f>
        <v>405800</v>
      </c>
      <c r="T24" s="22">
        <f>IF(Tabell2[[#This Row],[NIBR11-T]]&lt;=K$437,100,IF(Tabell2[[#This Row],[NIBR11-T]]&gt;=K$436,0,100*(K$436-Tabell2[[#This Row],[NIBR11-T]])/K$439))</f>
        <v>100</v>
      </c>
      <c r="U24" s="7">
        <f>IF(Tabell2[[#This Row],[ReisetidOslo-T]]&lt;=L$437,100,IF(Tabell2[[#This Row],[ReisetidOslo-T]]&gt;=L$436,0,100*(L$436-Tabell2[[#This Row],[ReisetidOslo-T]])/L$439))</f>
        <v>100</v>
      </c>
      <c r="V24" s="7">
        <f>100-(M$436-Tabell2[[#This Row],[Beftettotal-T]])*100/M$439</f>
        <v>100</v>
      </c>
      <c r="W24" s="7">
        <f>100-(N$436-Tabell2[[#This Row],[Befvekst10-T]])*100/N$439</f>
        <v>100</v>
      </c>
      <c r="X24" s="7">
        <f>100-(O$436-Tabell2[[#This Row],[Kvinneandel-T]])*100/O$439</f>
        <v>100</v>
      </c>
      <c r="Y24" s="7">
        <f>(P$436-Tabell2[[#This Row],[Eldreandel-T]])*100/P$439</f>
        <v>100</v>
      </c>
      <c r="Z24" s="7">
        <f>100-(Q$436-Tabell2[[#This Row],[Sysselsettingsvekst10-T]])*100/Q$439</f>
        <v>100</v>
      </c>
      <c r="AA24" s="7">
        <f>100-(R$436-Tabell2[[#This Row],[Yrkesaktivandel-T]])*100/R$439</f>
        <v>16.784787639678285</v>
      </c>
      <c r="AB24" s="7">
        <f>100-(S$436-Tabell2[[#This Row],[Inntekt-T]])*100/S$439</f>
        <v>86.0924077083817</v>
      </c>
      <c r="AC24" s="55">
        <f>Tabell2[[#This Row],[NIBR11-I]]*Vekter!$B$3</f>
        <v>20</v>
      </c>
      <c r="AD24" s="55">
        <f>Tabell2[[#This Row],[ReisetidOslo-I]]*Vekter!$C$3</f>
        <v>10</v>
      </c>
      <c r="AE24" s="55">
        <f>Tabell2[[#This Row],[Beftettotal-I]]*Vekter!$D$3</f>
        <v>10</v>
      </c>
      <c r="AF24" s="55">
        <f>Tabell2[[#This Row],[Befvekst10-I]]*Vekter!$E$3</f>
        <v>20</v>
      </c>
      <c r="AG24" s="55">
        <f>Tabell2[[#This Row],[Kvinneandel-I]]*Vekter!$F$3</f>
        <v>5</v>
      </c>
      <c r="AH24" s="55">
        <f>Tabell2[[#This Row],[Eldreandel-I]]*Vekter!$G$3</f>
        <v>5</v>
      </c>
      <c r="AI24" s="55">
        <f>Tabell2[[#This Row],[Sysselsettingsvekst10-I]]*Vekter!$H$3</f>
        <v>10</v>
      </c>
      <c r="AJ24" s="55">
        <f>Tabell2[[#This Row],[Yrkesaktivandel-I]]*Vekter!$J$3</f>
        <v>1.6784787639678287</v>
      </c>
      <c r="AK24" s="55">
        <f>Tabell2[[#This Row],[Inntekt-I]]*Vekter!$L$3</f>
        <v>8.60924077083817</v>
      </c>
      <c r="AL24" s="56">
        <f>SUM(Tabell2[[#This Row],[NIBR11-v]:[Inntekt-v]])</f>
        <v>90.287719534806001</v>
      </c>
    </row>
    <row r="25" spans="1:38" x14ac:dyDescent="0.25">
      <c r="A25" s="2" t="s">
        <v>22</v>
      </c>
      <c r="B25">
        <f>'Rådata-K'!M24</f>
        <v>1</v>
      </c>
      <c r="C25" s="7">
        <f>'Rådata-K'!L24</f>
        <v>30.2166666667</v>
      </c>
      <c r="D25" s="34">
        <f>'Rådata-K'!N24</f>
        <v>182.68378063010502</v>
      </c>
      <c r="E25" s="34">
        <f>'Rådata-K'!O24</f>
        <v>0.17203174127863452</v>
      </c>
      <c r="F25" s="34">
        <f>'Rådata-K'!P24</f>
        <v>9.9706182933060813E-2</v>
      </c>
      <c r="G25" s="34">
        <f>'Rådata-K'!Q24</f>
        <v>0.15604241185487991</v>
      </c>
      <c r="H25" s="34">
        <f>'Rådata-K'!R24</f>
        <v>0.24242424242424243</v>
      </c>
      <c r="I25" s="34">
        <f>'Rådata-K'!S24</f>
        <v>0.90302827877978176</v>
      </c>
      <c r="J25" s="22">
        <f>'Rådata-K'!K24</f>
        <v>463700</v>
      </c>
      <c r="K25" s="22">
        <f>Tabell2[[#This Row],[NIBR11]]</f>
        <v>1</v>
      </c>
      <c r="L25" s="32">
        <f>IF(Tabell2[[#This Row],[ReisetidOslo]]&lt;=C$434,C$434,IF(Tabell2[[#This Row],[ReisetidOslo]]&gt;=C$435,C$435,Tabell2[[#This Row],[ReisetidOslo]]))</f>
        <v>52.54</v>
      </c>
      <c r="M25" s="32">
        <f>IF(Tabell2[[#This Row],[Beftettotal]]&lt;=D$434,D$434,IF(Tabell2[[#This Row],[Beftettotal]]&gt;=D$435,D$435,Tabell2[[#This Row],[Beftettotal]]))</f>
        <v>130.60042534801397</v>
      </c>
      <c r="N25" s="34">
        <f>IF(Tabell2[[#This Row],[Befvekst10]]&lt;=E$434,E$434,IF(Tabell2[[#This Row],[Befvekst10]]&gt;=E$435,E$435,Tabell2[[#This Row],[Befvekst10]]))</f>
        <v>0.17203174127863452</v>
      </c>
      <c r="O25" s="34">
        <f>IF(Tabell2[[#This Row],[Kvinneandel]]&lt;=F$434,F$434,IF(Tabell2[[#This Row],[Kvinneandel]]&gt;=F$435,F$435,Tabell2[[#This Row],[Kvinneandel]]))</f>
        <v>9.9706182933060813E-2</v>
      </c>
      <c r="P25" s="34">
        <f>IF(Tabell2[[#This Row],[Eldreandel]]&lt;=G$434,G$434,IF(Tabell2[[#This Row],[Eldreandel]]&gt;=G$435,G$435,Tabell2[[#This Row],[Eldreandel]]))</f>
        <v>0.15604241185487991</v>
      </c>
      <c r="Q25" s="34">
        <f>IF(Tabell2[[#This Row],[Sysselsettingsvekst10]]&lt;=H$434,H$434,IF(Tabell2[[#This Row],[Sysselsettingsvekst10]]&gt;=H$435,H$435,Tabell2[[#This Row],[Sysselsettingsvekst10]]))</f>
        <v>0.24242424242424243</v>
      </c>
      <c r="R25" s="34">
        <f>IF(Tabell2[[#This Row],[Yrkesaktivandel]]&lt;=I$434,I$434,IF(Tabell2[[#This Row],[Yrkesaktivandel]]&gt;=I$435,I$435,Tabell2[[#This Row],[Yrkesaktivandel]]))</f>
        <v>0.90302827877978176</v>
      </c>
      <c r="S25" s="22">
        <f>IF(Tabell2[[#This Row],[Inntekt]]&lt;=J$434,J$434,IF(Tabell2[[#This Row],[Inntekt]]&gt;=J$435,J$435,Tabell2[[#This Row],[Inntekt]]))</f>
        <v>417780</v>
      </c>
      <c r="T25" s="22">
        <f>IF(Tabell2[[#This Row],[NIBR11-T]]&lt;=K$437,100,IF(Tabell2[[#This Row],[NIBR11-T]]&gt;=K$436,0,100*(K$436-Tabell2[[#This Row],[NIBR11-T]])/K$439))</f>
        <v>100</v>
      </c>
      <c r="U25" s="7">
        <f>IF(Tabell2[[#This Row],[ReisetidOslo-T]]&lt;=L$437,100,IF(Tabell2[[#This Row],[ReisetidOslo-T]]&gt;=L$436,0,100*(L$436-Tabell2[[#This Row],[ReisetidOslo-T]])/L$439))</f>
        <v>100</v>
      </c>
      <c r="V25" s="7">
        <f>100-(M$436-Tabell2[[#This Row],[Beftettotal-T]])*100/M$439</f>
        <v>100</v>
      </c>
      <c r="W25" s="7">
        <f>100-(N$436-Tabell2[[#This Row],[Befvekst10-T]])*100/N$439</f>
        <v>99.945625378146872</v>
      </c>
      <c r="X25" s="7">
        <f>100-(O$436-Tabell2[[#This Row],[Kvinneandel-T]])*100/O$439</f>
        <v>24.353071685900716</v>
      </c>
      <c r="Y25" s="7">
        <f>(P$436-Tabell2[[#This Row],[Eldreandel-T]])*100/P$439</f>
        <v>63.928925194615537</v>
      </c>
      <c r="Z25" s="7">
        <f>100-(Q$436-Tabell2[[#This Row],[Sysselsettingsvekst10-T]])*100/Q$439</f>
        <v>92.879690933760628</v>
      </c>
      <c r="AA25" s="7">
        <f>100-(R$436-Tabell2[[#This Row],[Yrkesaktivandel-T]])*100/R$439</f>
        <v>54.631873473567225</v>
      </c>
      <c r="AB25" s="7">
        <f>100-(S$436-Tabell2[[#This Row],[Inntekt-T]])*100/S$439</f>
        <v>100</v>
      </c>
      <c r="AC25" s="55">
        <f>Tabell2[[#This Row],[NIBR11-I]]*Vekter!$B$3</f>
        <v>20</v>
      </c>
      <c r="AD25" s="55">
        <f>Tabell2[[#This Row],[ReisetidOslo-I]]*Vekter!$C$3</f>
        <v>10</v>
      </c>
      <c r="AE25" s="55">
        <f>Tabell2[[#This Row],[Beftettotal-I]]*Vekter!$D$3</f>
        <v>10</v>
      </c>
      <c r="AF25" s="55">
        <f>Tabell2[[#This Row],[Befvekst10-I]]*Vekter!$E$3</f>
        <v>19.989125075629374</v>
      </c>
      <c r="AG25" s="55">
        <f>Tabell2[[#This Row],[Kvinneandel-I]]*Vekter!$F$3</f>
        <v>1.2176535842950358</v>
      </c>
      <c r="AH25" s="55">
        <f>Tabell2[[#This Row],[Eldreandel-I]]*Vekter!$G$3</f>
        <v>3.1964462597307772</v>
      </c>
      <c r="AI25" s="55">
        <f>Tabell2[[#This Row],[Sysselsettingsvekst10-I]]*Vekter!$H$3</f>
        <v>9.2879690933760628</v>
      </c>
      <c r="AJ25" s="55">
        <f>Tabell2[[#This Row],[Yrkesaktivandel-I]]*Vekter!$J$3</f>
        <v>5.4631873473567225</v>
      </c>
      <c r="AK25" s="55">
        <f>Tabell2[[#This Row],[Inntekt-I]]*Vekter!$L$3</f>
        <v>10</v>
      </c>
      <c r="AL25" s="56">
        <f>SUM(Tabell2[[#This Row],[NIBR11-v]:[Inntekt-v]])</f>
        <v>89.154381360387973</v>
      </c>
    </row>
    <row r="26" spans="1:38" x14ac:dyDescent="0.25">
      <c r="A26" s="2" t="s">
        <v>23</v>
      </c>
      <c r="B26">
        <f>'Rådata-K'!M25</f>
        <v>1</v>
      </c>
      <c r="C26" s="7">
        <f>'Rådata-K'!L25</f>
        <v>40.9</v>
      </c>
      <c r="D26" s="34">
        <f>'Rådata-K'!N25</f>
        <v>298.92613081679139</v>
      </c>
      <c r="E26" s="34">
        <f>'Rådata-K'!O25</f>
        <v>0.13190807713634412</v>
      </c>
      <c r="F26" s="34">
        <f>'Rådata-K'!P25</f>
        <v>0.10842586544741999</v>
      </c>
      <c r="G26" s="34">
        <f>'Rådata-K'!Q25</f>
        <v>0.12295885042455912</v>
      </c>
      <c r="H26" s="34">
        <f>'Rådata-K'!R25</f>
        <v>0.15643418467583503</v>
      </c>
      <c r="I26" s="34">
        <f>'Rådata-K'!S25</f>
        <v>0.87901119402985073</v>
      </c>
      <c r="J26" s="22">
        <f>'Rådata-K'!K25</f>
        <v>436700</v>
      </c>
      <c r="K26" s="22">
        <f>Tabell2[[#This Row],[NIBR11]]</f>
        <v>1</v>
      </c>
      <c r="L26" s="32">
        <f>IF(Tabell2[[#This Row],[ReisetidOslo]]&lt;=C$434,C$434,IF(Tabell2[[#This Row],[ReisetidOslo]]&gt;=C$435,C$435,Tabell2[[#This Row],[ReisetidOslo]]))</f>
        <v>52.54</v>
      </c>
      <c r="M26" s="32">
        <f>IF(Tabell2[[#This Row],[Beftettotal]]&lt;=D$434,D$434,IF(Tabell2[[#This Row],[Beftettotal]]&gt;=D$435,D$435,Tabell2[[#This Row],[Beftettotal]]))</f>
        <v>130.60042534801397</v>
      </c>
      <c r="N26" s="34">
        <f>IF(Tabell2[[#This Row],[Befvekst10]]&lt;=E$434,E$434,IF(Tabell2[[#This Row],[Befvekst10]]&gt;=E$435,E$435,Tabell2[[#This Row],[Befvekst10]]))</f>
        <v>0.13190807713634412</v>
      </c>
      <c r="O26" s="34">
        <f>IF(Tabell2[[#This Row],[Kvinneandel]]&lt;=F$434,F$434,IF(Tabell2[[#This Row],[Kvinneandel]]&gt;=F$435,F$435,Tabell2[[#This Row],[Kvinneandel]]))</f>
        <v>0.10842586544741999</v>
      </c>
      <c r="P26" s="34">
        <f>IF(Tabell2[[#This Row],[Eldreandel]]&lt;=G$434,G$434,IF(Tabell2[[#This Row],[Eldreandel]]&gt;=G$435,G$435,Tabell2[[#This Row],[Eldreandel]]))</f>
        <v>0.12312339657223466</v>
      </c>
      <c r="Q26" s="34">
        <f>IF(Tabell2[[#This Row],[Sysselsettingsvekst10]]&lt;=H$434,H$434,IF(Tabell2[[#This Row],[Sysselsettingsvekst10]]&gt;=H$435,H$435,Tabell2[[#This Row],[Sysselsettingsvekst10]]))</f>
        <v>0.15643418467583503</v>
      </c>
      <c r="R26" s="34">
        <f>IF(Tabell2[[#This Row],[Yrkesaktivandel]]&lt;=I$434,I$434,IF(Tabell2[[#This Row],[Yrkesaktivandel]]&gt;=I$435,I$435,Tabell2[[#This Row],[Yrkesaktivandel]]))</f>
        <v>0.87901119402985073</v>
      </c>
      <c r="S26" s="22">
        <f>IF(Tabell2[[#This Row],[Inntekt]]&lt;=J$434,J$434,IF(Tabell2[[#This Row],[Inntekt]]&gt;=J$435,J$435,Tabell2[[#This Row],[Inntekt]]))</f>
        <v>417780</v>
      </c>
      <c r="T26" s="22">
        <f>IF(Tabell2[[#This Row],[NIBR11-T]]&lt;=K$437,100,IF(Tabell2[[#This Row],[NIBR11-T]]&gt;=K$436,0,100*(K$436-Tabell2[[#This Row],[NIBR11-T]])/K$439))</f>
        <v>100</v>
      </c>
      <c r="U26" s="7">
        <f>IF(Tabell2[[#This Row],[ReisetidOslo-T]]&lt;=L$437,100,IF(Tabell2[[#This Row],[ReisetidOslo-T]]&gt;=L$436,0,100*(L$436-Tabell2[[#This Row],[ReisetidOslo-T]])/L$439))</f>
        <v>100</v>
      </c>
      <c r="V26" s="7">
        <f>100-(M$436-Tabell2[[#This Row],[Beftettotal-T]])*100/M$439</f>
        <v>100</v>
      </c>
      <c r="W26" s="7">
        <f>100-(N$436-Tabell2[[#This Row],[Befvekst10-T]])*100/N$439</f>
        <v>83.790371505606529</v>
      </c>
      <c r="X26" s="7">
        <f>100-(O$436-Tabell2[[#This Row],[Kvinneandel-T]])*100/O$439</f>
        <v>47.394671148317656</v>
      </c>
      <c r="Y26" s="7">
        <f>(P$436-Tabell2[[#This Row],[Eldreandel-T]])*100/P$439</f>
        <v>100</v>
      </c>
      <c r="Z26" s="7">
        <f>100-(Q$436-Tabell2[[#This Row],[Sysselsettingsvekst10-T]])*100/Q$439</f>
        <v>67.294131358366982</v>
      </c>
      <c r="AA26" s="7">
        <f>100-(R$436-Tabell2[[#This Row],[Yrkesaktivandel-T]])*100/R$439</f>
        <v>36.165335181004387</v>
      </c>
      <c r="AB26" s="7">
        <f>100-(S$436-Tabell2[[#This Row],[Inntekt-T]])*100/S$439</f>
        <v>100</v>
      </c>
      <c r="AC26" s="55">
        <f>Tabell2[[#This Row],[NIBR11-I]]*Vekter!$B$3</f>
        <v>20</v>
      </c>
      <c r="AD26" s="55">
        <f>Tabell2[[#This Row],[ReisetidOslo-I]]*Vekter!$C$3</f>
        <v>10</v>
      </c>
      <c r="AE26" s="55">
        <f>Tabell2[[#This Row],[Beftettotal-I]]*Vekter!$D$3</f>
        <v>10</v>
      </c>
      <c r="AF26" s="55">
        <f>Tabell2[[#This Row],[Befvekst10-I]]*Vekter!$E$3</f>
        <v>16.758074301121308</v>
      </c>
      <c r="AG26" s="55">
        <f>Tabell2[[#This Row],[Kvinneandel-I]]*Vekter!$F$3</f>
        <v>2.3697335574158829</v>
      </c>
      <c r="AH26" s="55">
        <f>Tabell2[[#This Row],[Eldreandel-I]]*Vekter!$G$3</f>
        <v>5</v>
      </c>
      <c r="AI26" s="55">
        <f>Tabell2[[#This Row],[Sysselsettingsvekst10-I]]*Vekter!$H$3</f>
        <v>6.7294131358366984</v>
      </c>
      <c r="AJ26" s="55">
        <f>Tabell2[[#This Row],[Yrkesaktivandel-I]]*Vekter!$J$3</f>
        <v>3.616533518100439</v>
      </c>
      <c r="AK26" s="55">
        <f>Tabell2[[#This Row],[Inntekt-I]]*Vekter!$L$3</f>
        <v>10</v>
      </c>
      <c r="AL26" s="56">
        <f>SUM(Tabell2[[#This Row],[NIBR11-v]:[Inntekt-v]])</f>
        <v>84.473754512474329</v>
      </c>
    </row>
    <row r="27" spans="1:38" x14ac:dyDescent="0.25">
      <c r="A27" s="2" t="s">
        <v>24</v>
      </c>
      <c r="B27">
        <f>'Rådata-K'!M26</f>
        <v>1</v>
      </c>
      <c r="C27" s="7">
        <f>'Rådata-K'!L26</f>
        <v>13.666666666699999</v>
      </c>
      <c r="D27" s="34">
        <f>'Rådata-K'!N26</f>
        <v>717.60259179265643</v>
      </c>
      <c r="E27" s="34">
        <f>'Rådata-K'!O26</f>
        <v>0.12693970999745607</v>
      </c>
      <c r="F27" s="34">
        <f>'Rådata-K'!P26</f>
        <v>0.109104589917231</v>
      </c>
      <c r="G27" s="34">
        <f>'Rådata-K'!Q26</f>
        <v>0.14567343867569602</v>
      </c>
      <c r="H27" s="34">
        <f>'Rådata-K'!R26</f>
        <v>0.11223571749887529</v>
      </c>
      <c r="I27" s="34">
        <f>'Rådata-K'!S26</f>
        <v>0.89667064597426716</v>
      </c>
      <c r="J27" s="22">
        <f>'Rådata-K'!K26</f>
        <v>486100</v>
      </c>
      <c r="K27" s="22">
        <f>Tabell2[[#This Row],[NIBR11]]</f>
        <v>1</v>
      </c>
      <c r="L27" s="32">
        <f>IF(Tabell2[[#This Row],[ReisetidOslo]]&lt;=C$434,C$434,IF(Tabell2[[#This Row],[ReisetidOslo]]&gt;=C$435,C$435,Tabell2[[#This Row],[ReisetidOslo]]))</f>
        <v>52.54</v>
      </c>
      <c r="M27" s="32">
        <f>IF(Tabell2[[#This Row],[Beftettotal]]&lt;=D$434,D$434,IF(Tabell2[[#This Row],[Beftettotal]]&gt;=D$435,D$435,Tabell2[[#This Row],[Beftettotal]]))</f>
        <v>130.60042534801397</v>
      </c>
      <c r="N27" s="34">
        <f>IF(Tabell2[[#This Row],[Befvekst10]]&lt;=E$434,E$434,IF(Tabell2[[#This Row],[Befvekst10]]&gt;=E$435,E$435,Tabell2[[#This Row],[Befvekst10]]))</f>
        <v>0.12693970999745607</v>
      </c>
      <c r="O27" s="34">
        <f>IF(Tabell2[[#This Row],[Kvinneandel]]&lt;=F$434,F$434,IF(Tabell2[[#This Row],[Kvinneandel]]&gt;=F$435,F$435,Tabell2[[#This Row],[Kvinneandel]]))</f>
        <v>0.109104589917231</v>
      </c>
      <c r="P27" s="34">
        <f>IF(Tabell2[[#This Row],[Eldreandel]]&lt;=G$434,G$434,IF(Tabell2[[#This Row],[Eldreandel]]&gt;=G$435,G$435,Tabell2[[#This Row],[Eldreandel]]))</f>
        <v>0.14567343867569602</v>
      </c>
      <c r="Q27" s="34">
        <f>IF(Tabell2[[#This Row],[Sysselsettingsvekst10]]&lt;=H$434,H$434,IF(Tabell2[[#This Row],[Sysselsettingsvekst10]]&gt;=H$435,H$435,Tabell2[[#This Row],[Sysselsettingsvekst10]]))</f>
        <v>0.11223571749887529</v>
      </c>
      <c r="R27" s="34">
        <f>IF(Tabell2[[#This Row],[Yrkesaktivandel]]&lt;=I$434,I$434,IF(Tabell2[[#This Row],[Yrkesaktivandel]]&gt;=I$435,I$435,Tabell2[[#This Row],[Yrkesaktivandel]]))</f>
        <v>0.89667064597426716</v>
      </c>
      <c r="S27" s="22">
        <f>IF(Tabell2[[#This Row],[Inntekt]]&lt;=J$434,J$434,IF(Tabell2[[#This Row],[Inntekt]]&gt;=J$435,J$435,Tabell2[[#This Row],[Inntekt]]))</f>
        <v>417780</v>
      </c>
      <c r="T27" s="22">
        <f>IF(Tabell2[[#This Row],[NIBR11-T]]&lt;=K$437,100,IF(Tabell2[[#This Row],[NIBR11-T]]&gt;=K$436,0,100*(K$436-Tabell2[[#This Row],[NIBR11-T]])/K$439))</f>
        <v>100</v>
      </c>
      <c r="U27" s="7">
        <f>IF(Tabell2[[#This Row],[ReisetidOslo-T]]&lt;=L$437,100,IF(Tabell2[[#This Row],[ReisetidOslo-T]]&gt;=L$436,0,100*(L$436-Tabell2[[#This Row],[ReisetidOslo-T]])/L$439))</f>
        <v>100</v>
      </c>
      <c r="V27" s="7">
        <f>100-(M$436-Tabell2[[#This Row],[Beftettotal-T]])*100/M$439</f>
        <v>100</v>
      </c>
      <c r="W27" s="7">
        <f>100-(N$436-Tabell2[[#This Row],[Befvekst10-T]])*100/N$439</f>
        <v>81.789925280753323</v>
      </c>
      <c r="X27" s="7">
        <f>100-(O$436-Tabell2[[#This Row],[Kvinneandel-T]])*100/O$439</f>
        <v>49.188187982557132</v>
      </c>
      <c r="Y27" s="7">
        <f>(P$436-Tabell2[[#This Row],[Eldreandel-T]])*100/P$439</f>
        <v>75.290747654674021</v>
      </c>
      <c r="Z27" s="7">
        <f>100-(Q$436-Tabell2[[#This Row],[Sysselsettingsvekst10-T]])*100/Q$439</f>
        <v>54.143279449349301</v>
      </c>
      <c r="AA27" s="7">
        <f>100-(R$436-Tabell2[[#This Row],[Yrkesaktivandel-T]])*100/R$439</f>
        <v>49.74354206800701</v>
      </c>
      <c r="AB27" s="7">
        <f>100-(S$436-Tabell2[[#This Row],[Inntekt-T]])*100/S$439</f>
        <v>100</v>
      </c>
      <c r="AC27" s="55">
        <f>Tabell2[[#This Row],[NIBR11-I]]*Vekter!$B$3</f>
        <v>20</v>
      </c>
      <c r="AD27" s="55">
        <f>Tabell2[[#This Row],[ReisetidOslo-I]]*Vekter!$C$3</f>
        <v>10</v>
      </c>
      <c r="AE27" s="55">
        <f>Tabell2[[#This Row],[Beftettotal-I]]*Vekter!$D$3</f>
        <v>10</v>
      </c>
      <c r="AF27" s="55">
        <f>Tabell2[[#This Row],[Befvekst10-I]]*Vekter!$E$3</f>
        <v>16.357985056150664</v>
      </c>
      <c r="AG27" s="55">
        <f>Tabell2[[#This Row],[Kvinneandel-I]]*Vekter!$F$3</f>
        <v>2.4594093991278569</v>
      </c>
      <c r="AH27" s="55">
        <f>Tabell2[[#This Row],[Eldreandel-I]]*Vekter!$G$3</f>
        <v>3.7645373827337014</v>
      </c>
      <c r="AI27" s="55">
        <f>Tabell2[[#This Row],[Sysselsettingsvekst10-I]]*Vekter!$H$3</f>
        <v>5.4143279449349304</v>
      </c>
      <c r="AJ27" s="55">
        <f>Tabell2[[#This Row],[Yrkesaktivandel-I]]*Vekter!$J$3</f>
        <v>4.974354206800701</v>
      </c>
      <c r="AK27" s="55">
        <f>Tabell2[[#This Row],[Inntekt-I]]*Vekter!$L$3</f>
        <v>10</v>
      </c>
      <c r="AL27" s="56">
        <f>SUM(Tabell2[[#This Row],[NIBR11-v]:[Inntekt-v]])</f>
        <v>82.970613989747847</v>
      </c>
    </row>
    <row r="28" spans="1:38" x14ac:dyDescent="0.25">
      <c r="A28" s="2" t="s">
        <v>25</v>
      </c>
      <c r="B28">
        <f>'Rådata-K'!M27</f>
        <v>1</v>
      </c>
      <c r="C28" s="7">
        <f>'Rådata-K'!L27</f>
        <v>11.8</v>
      </c>
      <c r="D28" s="34">
        <f>'Rådata-K'!N27</f>
        <v>627.71767398314773</v>
      </c>
      <c r="E28" s="34">
        <f>'Rådata-K'!O27</f>
        <v>0.15278441111854035</v>
      </c>
      <c r="F28" s="34">
        <f>'Rådata-K'!P27</f>
        <v>0.1178356879479637</v>
      </c>
      <c r="G28" s="34">
        <f>'Rådata-K'!Q27</f>
        <v>0.137747027385342</v>
      </c>
      <c r="H28" s="34">
        <f>'Rådata-K'!R27</f>
        <v>0.21064926028395825</v>
      </c>
      <c r="I28" s="34">
        <f>'Rådata-K'!S27</f>
        <v>0.88863499180822625</v>
      </c>
      <c r="J28" s="22">
        <f>'Rådata-K'!K27</f>
        <v>548300</v>
      </c>
      <c r="K28" s="22">
        <f>Tabell2[[#This Row],[NIBR11]]</f>
        <v>1</v>
      </c>
      <c r="L28" s="32">
        <f>IF(Tabell2[[#This Row],[ReisetidOslo]]&lt;=C$434,C$434,IF(Tabell2[[#This Row],[ReisetidOslo]]&gt;=C$435,C$435,Tabell2[[#This Row],[ReisetidOslo]]))</f>
        <v>52.54</v>
      </c>
      <c r="M28" s="32">
        <f>IF(Tabell2[[#This Row],[Beftettotal]]&lt;=D$434,D$434,IF(Tabell2[[#This Row],[Beftettotal]]&gt;=D$435,D$435,Tabell2[[#This Row],[Beftettotal]]))</f>
        <v>130.60042534801397</v>
      </c>
      <c r="N28" s="34">
        <f>IF(Tabell2[[#This Row],[Befvekst10]]&lt;=E$434,E$434,IF(Tabell2[[#This Row],[Befvekst10]]&gt;=E$435,E$435,Tabell2[[#This Row],[Befvekst10]]))</f>
        <v>0.15278441111854035</v>
      </c>
      <c r="O28" s="34">
        <f>IF(Tabell2[[#This Row],[Kvinneandel]]&lt;=F$434,F$434,IF(Tabell2[[#This Row],[Kvinneandel]]&gt;=F$435,F$435,Tabell2[[#This Row],[Kvinneandel]]))</f>
        <v>0.1178356879479637</v>
      </c>
      <c r="P28" s="34">
        <f>IF(Tabell2[[#This Row],[Eldreandel]]&lt;=G$434,G$434,IF(Tabell2[[#This Row],[Eldreandel]]&gt;=G$435,G$435,Tabell2[[#This Row],[Eldreandel]]))</f>
        <v>0.137747027385342</v>
      </c>
      <c r="Q28" s="34">
        <f>IF(Tabell2[[#This Row],[Sysselsettingsvekst10]]&lt;=H$434,H$434,IF(Tabell2[[#This Row],[Sysselsettingsvekst10]]&gt;=H$435,H$435,Tabell2[[#This Row],[Sysselsettingsvekst10]]))</f>
        <v>0.21064926028395825</v>
      </c>
      <c r="R28" s="34">
        <f>IF(Tabell2[[#This Row],[Yrkesaktivandel]]&lt;=I$434,I$434,IF(Tabell2[[#This Row],[Yrkesaktivandel]]&gt;=I$435,I$435,Tabell2[[#This Row],[Yrkesaktivandel]]))</f>
        <v>0.88863499180822625</v>
      </c>
      <c r="S28" s="22">
        <f>IF(Tabell2[[#This Row],[Inntekt]]&lt;=J$434,J$434,IF(Tabell2[[#This Row],[Inntekt]]&gt;=J$435,J$435,Tabell2[[#This Row],[Inntekt]]))</f>
        <v>417780</v>
      </c>
      <c r="T28" s="22">
        <f>IF(Tabell2[[#This Row],[NIBR11-T]]&lt;=K$437,100,IF(Tabell2[[#This Row],[NIBR11-T]]&gt;=K$436,0,100*(K$436-Tabell2[[#This Row],[NIBR11-T]])/K$439))</f>
        <v>100</v>
      </c>
      <c r="U28" s="7">
        <f>IF(Tabell2[[#This Row],[ReisetidOslo-T]]&lt;=L$437,100,IF(Tabell2[[#This Row],[ReisetidOslo-T]]&gt;=L$436,0,100*(L$436-Tabell2[[#This Row],[ReisetidOslo-T]])/L$439))</f>
        <v>100</v>
      </c>
      <c r="V28" s="7">
        <f>100-(M$436-Tabell2[[#This Row],[Beftettotal-T]])*100/M$439</f>
        <v>100</v>
      </c>
      <c r="W28" s="7">
        <f>100-(N$436-Tabell2[[#This Row],[Befvekst10-T]])*100/N$439</f>
        <v>92.195946684739937</v>
      </c>
      <c r="X28" s="7">
        <f>100-(O$436-Tabell2[[#This Row],[Kvinneandel-T]])*100/O$439</f>
        <v>72.259952735453652</v>
      </c>
      <c r="Y28" s="7">
        <f>(P$436-Tabell2[[#This Row],[Eldreandel-T]])*100/P$439</f>
        <v>83.976128190444058</v>
      </c>
      <c r="Z28" s="7">
        <f>100-(Q$436-Tabell2[[#This Row],[Sysselsettingsvekst10-T]])*100/Q$439</f>
        <v>83.425334001753953</v>
      </c>
      <c r="AA28" s="7">
        <f>100-(R$436-Tabell2[[#This Row],[Yrkesaktivandel-T]])*100/R$439</f>
        <v>43.564993884159982</v>
      </c>
      <c r="AB28" s="7">
        <f>100-(S$436-Tabell2[[#This Row],[Inntekt-T]])*100/S$439</f>
        <v>100</v>
      </c>
      <c r="AC28" s="55">
        <f>Tabell2[[#This Row],[NIBR11-I]]*Vekter!$B$3</f>
        <v>20</v>
      </c>
      <c r="AD28" s="55">
        <f>Tabell2[[#This Row],[ReisetidOslo-I]]*Vekter!$C$3</f>
        <v>10</v>
      </c>
      <c r="AE28" s="55">
        <f>Tabell2[[#This Row],[Beftettotal-I]]*Vekter!$D$3</f>
        <v>10</v>
      </c>
      <c r="AF28" s="55">
        <f>Tabell2[[#This Row],[Befvekst10-I]]*Vekter!$E$3</f>
        <v>18.439189336947987</v>
      </c>
      <c r="AG28" s="55">
        <f>Tabell2[[#This Row],[Kvinneandel-I]]*Vekter!$F$3</f>
        <v>3.6129976367726826</v>
      </c>
      <c r="AH28" s="55">
        <f>Tabell2[[#This Row],[Eldreandel-I]]*Vekter!$G$3</f>
        <v>4.1988064095222031</v>
      </c>
      <c r="AI28" s="55">
        <f>Tabell2[[#This Row],[Sysselsettingsvekst10-I]]*Vekter!$H$3</f>
        <v>8.3425334001753964</v>
      </c>
      <c r="AJ28" s="55">
        <f>Tabell2[[#This Row],[Yrkesaktivandel-I]]*Vekter!$J$3</f>
        <v>4.3564993884159984</v>
      </c>
      <c r="AK28" s="55">
        <f>Tabell2[[#This Row],[Inntekt-I]]*Vekter!$L$3</f>
        <v>10</v>
      </c>
      <c r="AL28" s="56">
        <f>SUM(Tabell2[[#This Row],[NIBR11-v]:[Inntekt-v]])</f>
        <v>88.950026171834267</v>
      </c>
    </row>
    <row r="29" spans="1:38" x14ac:dyDescent="0.25">
      <c r="A29" s="2" t="s">
        <v>26</v>
      </c>
      <c r="B29">
        <f>'Rådata-K'!M28</f>
        <v>1</v>
      </c>
      <c r="C29" s="7">
        <f>'Rådata-K'!L28</f>
        <v>17.2</v>
      </c>
      <c r="D29" s="34">
        <f>'Rådata-K'!N28</f>
        <v>591.4515488482923</v>
      </c>
      <c r="E29" s="34">
        <f>'Rådata-K'!O28</f>
        <v>0.17132014628966918</v>
      </c>
      <c r="F29" s="34">
        <f>'Rådata-K'!P28</f>
        <v>0.11522385053129879</v>
      </c>
      <c r="G29" s="34">
        <f>'Rådata-K'!Q28</f>
        <v>0.13224555572342248</v>
      </c>
      <c r="H29" s="34">
        <f>'Rådata-K'!R28</f>
        <v>0.18997060501031027</v>
      </c>
      <c r="I29" s="34">
        <f>'Rådata-K'!S28</f>
        <v>0.88507157464212682</v>
      </c>
      <c r="J29" s="22">
        <f>'Rådata-K'!K28</f>
        <v>529800</v>
      </c>
      <c r="K29" s="22">
        <f>Tabell2[[#This Row],[NIBR11]]</f>
        <v>1</v>
      </c>
      <c r="L29" s="32">
        <f>IF(Tabell2[[#This Row],[ReisetidOslo]]&lt;=C$434,C$434,IF(Tabell2[[#This Row],[ReisetidOslo]]&gt;=C$435,C$435,Tabell2[[#This Row],[ReisetidOslo]]))</f>
        <v>52.54</v>
      </c>
      <c r="M29" s="32">
        <f>IF(Tabell2[[#This Row],[Beftettotal]]&lt;=D$434,D$434,IF(Tabell2[[#This Row],[Beftettotal]]&gt;=D$435,D$435,Tabell2[[#This Row],[Beftettotal]]))</f>
        <v>130.60042534801397</v>
      </c>
      <c r="N29" s="34">
        <f>IF(Tabell2[[#This Row],[Befvekst10]]&lt;=E$434,E$434,IF(Tabell2[[#This Row],[Befvekst10]]&gt;=E$435,E$435,Tabell2[[#This Row],[Befvekst10]]))</f>
        <v>0.17132014628966918</v>
      </c>
      <c r="O29" s="34">
        <f>IF(Tabell2[[#This Row],[Kvinneandel]]&lt;=F$434,F$434,IF(Tabell2[[#This Row],[Kvinneandel]]&gt;=F$435,F$435,Tabell2[[#This Row],[Kvinneandel]]))</f>
        <v>0.11522385053129879</v>
      </c>
      <c r="P29" s="34">
        <f>IF(Tabell2[[#This Row],[Eldreandel]]&lt;=G$434,G$434,IF(Tabell2[[#This Row],[Eldreandel]]&gt;=G$435,G$435,Tabell2[[#This Row],[Eldreandel]]))</f>
        <v>0.13224555572342248</v>
      </c>
      <c r="Q29" s="34">
        <f>IF(Tabell2[[#This Row],[Sysselsettingsvekst10]]&lt;=H$434,H$434,IF(Tabell2[[#This Row],[Sysselsettingsvekst10]]&gt;=H$435,H$435,Tabell2[[#This Row],[Sysselsettingsvekst10]]))</f>
        <v>0.18997060501031027</v>
      </c>
      <c r="R29" s="34">
        <f>IF(Tabell2[[#This Row],[Yrkesaktivandel]]&lt;=I$434,I$434,IF(Tabell2[[#This Row],[Yrkesaktivandel]]&gt;=I$435,I$435,Tabell2[[#This Row],[Yrkesaktivandel]]))</f>
        <v>0.88507157464212682</v>
      </c>
      <c r="S29" s="22">
        <f>IF(Tabell2[[#This Row],[Inntekt]]&lt;=J$434,J$434,IF(Tabell2[[#This Row],[Inntekt]]&gt;=J$435,J$435,Tabell2[[#This Row],[Inntekt]]))</f>
        <v>417780</v>
      </c>
      <c r="T29" s="22">
        <f>IF(Tabell2[[#This Row],[NIBR11-T]]&lt;=K$437,100,IF(Tabell2[[#This Row],[NIBR11-T]]&gt;=K$436,0,100*(K$436-Tabell2[[#This Row],[NIBR11-T]])/K$439))</f>
        <v>100</v>
      </c>
      <c r="U29" s="7">
        <f>IF(Tabell2[[#This Row],[ReisetidOslo-T]]&lt;=L$437,100,IF(Tabell2[[#This Row],[ReisetidOslo-T]]&gt;=L$436,0,100*(L$436-Tabell2[[#This Row],[ReisetidOslo-T]])/L$439))</f>
        <v>100</v>
      </c>
      <c r="V29" s="7">
        <f>100-(M$436-Tabell2[[#This Row],[Beftettotal-T]])*100/M$439</f>
        <v>100</v>
      </c>
      <c r="W29" s="7">
        <f>100-(N$436-Tabell2[[#This Row],[Befvekst10-T]])*100/N$439</f>
        <v>99.6591112237966</v>
      </c>
      <c r="X29" s="7">
        <f>100-(O$436-Tabell2[[#This Row],[Kvinneandel-T]])*100/O$439</f>
        <v>65.358220761079167</v>
      </c>
      <c r="Y29" s="7">
        <f>(P$436-Tabell2[[#This Row],[Eldreandel-T]])*100/P$439</f>
        <v>90.004376427912476</v>
      </c>
      <c r="Z29" s="7">
        <f>100-(Q$436-Tabell2[[#This Row],[Sysselsettingsvekst10-T]])*100/Q$439</f>
        <v>77.272588204199849</v>
      </c>
      <c r="AA29" s="7">
        <f>100-(R$436-Tabell2[[#This Row],[Yrkesaktivandel-T]])*100/R$439</f>
        <v>40.82511182789419</v>
      </c>
      <c r="AB29" s="7">
        <f>100-(S$436-Tabell2[[#This Row],[Inntekt-T]])*100/S$439</f>
        <v>100</v>
      </c>
      <c r="AC29" s="55">
        <f>Tabell2[[#This Row],[NIBR11-I]]*Vekter!$B$3</f>
        <v>20</v>
      </c>
      <c r="AD29" s="55">
        <f>Tabell2[[#This Row],[ReisetidOslo-I]]*Vekter!$C$3</f>
        <v>10</v>
      </c>
      <c r="AE29" s="55">
        <f>Tabell2[[#This Row],[Beftettotal-I]]*Vekter!$D$3</f>
        <v>10</v>
      </c>
      <c r="AF29" s="55">
        <f>Tabell2[[#This Row],[Befvekst10-I]]*Vekter!$E$3</f>
        <v>19.931822244759321</v>
      </c>
      <c r="AG29" s="55">
        <f>Tabell2[[#This Row],[Kvinneandel-I]]*Vekter!$F$3</f>
        <v>3.2679110380539584</v>
      </c>
      <c r="AH29" s="55">
        <f>Tabell2[[#This Row],[Eldreandel-I]]*Vekter!$G$3</f>
        <v>4.5002188213956238</v>
      </c>
      <c r="AI29" s="55">
        <f>Tabell2[[#This Row],[Sysselsettingsvekst10-I]]*Vekter!$H$3</f>
        <v>7.7272588204199852</v>
      </c>
      <c r="AJ29" s="55">
        <f>Tabell2[[#This Row],[Yrkesaktivandel-I]]*Vekter!$J$3</f>
        <v>4.0825111827894194</v>
      </c>
      <c r="AK29" s="55">
        <f>Tabell2[[#This Row],[Inntekt-I]]*Vekter!$L$3</f>
        <v>10</v>
      </c>
      <c r="AL29" s="56">
        <f>SUM(Tabell2[[#This Row],[NIBR11-v]:[Inntekt-v]])</f>
        <v>89.509722107418312</v>
      </c>
    </row>
    <row r="30" spans="1:38" x14ac:dyDescent="0.25">
      <c r="A30" s="2" t="s">
        <v>27</v>
      </c>
      <c r="B30">
        <f>'Rådata-K'!M29</f>
        <v>1</v>
      </c>
      <c r="C30" s="7">
        <f>'Rådata-K'!L29</f>
        <v>46.366666666699999</v>
      </c>
      <c r="D30" s="34">
        <f>'Rådata-K'!N29</f>
        <v>16.352972984214794</v>
      </c>
      <c r="E30" s="34">
        <f>'Rådata-K'!O29</f>
        <v>0.18463276836158182</v>
      </c>
      <c r="F30" s="34">
        <f>'Rådata-K'!P29</f>
        <v>0.11465089660434949</v>
      </c>
      <c r="G30" s="34">
        <f>'Rådata-K'!Q29</f>
        <v>0.15681037771842807</v>
      </c>
      <c r="H30" s="34">
        <f>'Rådata-K'!R29</f>
        <v>0.13082191780821928</v>
      </c>
      <c r="I30" s="34">
        <f>'Rådata-K'!S29</f>
        <v>0.87416784895776489</v>
      </c>
      <c r="J30" s="22">
        <f>'Rådata-K'!K29</f>
        <v>367800</v>
      </c>
      <c r="K30" s="22">
        <f>Tabell2[[#This Row],[NIBR11]]</f>
        <v>1</v>
      </c>
      <c r="L30" s="32">
        <f>IF(Tabell2[[#This Row],[ReisetidOslo]]&lt;=C$434,C$434,IF(Tabell2[[#This Row],[ReisetidOslo]]&gt;=C$435,C$435,Tabell2[[#This Row],[ReisetidOslo]]))</f>
        <v>52.54</v>
      </c>
      <c r="M30" s="32">
        <f>IF(Tabell2[[#This Row],[Beftettotal]]&lt;=D$434,D$434,IF(Tabell2[[#This Row],[Beftettotal]]&gt;=D$435,D$435,Tabell2[[#This Row],[Beftettotal]]))</f>
        <v>16.352972984214794</v>
      </c>
      <c r="N30" s="34">
        <f>IF(Tabell2[[#This Row],[Befvekst10]]&lt;=E$434,E$434,IF(Tabell2[[#This Row],[Befvekst10]]&gt;=E$435,E$435,Tabell2[[#This Row],[Befvekst10]]))</f>
        <v>0.17216678769030419</v>
      </c>
      <c r="O30" s="34">
        <f>IF(Tabell2[[#This Row],[Kvinneandel]]&lt;=F$434,F$434,IF(Tabell2[[#This Row],[Kvinneandel]]&gt;=F$435,F$435,Tabell2[[#This Row],[Kvinneandel]]))</f>
        <v>0.11465089660434949</v>
      </c>
      <c r="P30" s="34">
        <f>IF(Tabell2[[#This Row],[Eldreandel]]&lt;=G$434,G$434,IF(Tabell2[[#This Row],[Eldreandel]]&gt;=G$435,G$435,Tabell2[[#This Row],[Eldreandel]]))</f>
        <v>0.15681037771842807</v>
      </c>
      <c r="Q30" s="34">
        <f>IF(Tabell2[[#This Row],[Sysselsettingsvekst10]]&lt;=H$434,H$434,IF(Tabell2[[#This Row],[Sysselsettingsvekst10]]&gt;=H$435,H$435,Tabell2[[#This Row],[Sysselsettingsvekst10]]))</f>
        <v>0.13082191780821928</v>
      </c>
      <c r="R30" s="34">
        <f>IF(Tabell2[[#This Row],[Yrkesaktivandel]]&lt;=I$434,I$434,IF(Tabell2[[#This Row],[Yrkesaktivandel]]&gt;=I$435,I$435,Tabell2[[#This Row],[Yrkesaktivandel]]))</f>
        <v>0.87416784895776489</v>
      </c>
      <c r="S30" s="22">
        <f>IF(Tabell2[[#This Row],[Inntekt]]&lt;=J$434,J$434,IF(Tabell2[[#This Row],[Inntekt]]&gt;=J$435,J$435,Tabell2[[#This Row],[Inntekt]]))</f>
        <v>367800</v>
      </c>
      <c r="T30" s="22">
        <f>IF(Tabell2[[#This Row],[NIBR11-T]]&lt;=K$437,100,IF(Tabell2[[#This Row],[NIBR11-T]]&gt;=K$436,0,100*(K$436-Tabell2[[#This Row],[NIBR11-T]])/K$439))</f>
        <v>100</v>
      </c>
      <c r="U30" s="7">
        <f>IF(Tabell2[[#This Row],[ReisetidOslo-T]]&lt;=L$437,100,IF(Tabell2[[#This Row],[ReisetidOslo-T]]&gt;=L$436,0,100*(L$436-Tabell2[[#This Row],[ReisetidOslo-T]])/L$439))</f>
        <v>100</v>
      </c>
      <c r="V30" s="7">
        <f>100-(M$436-Tabell2[[#This Row],[Beftettotal-T]])*100/M$439</f>
        <v>11.621509202172518</v>
      </c>
      <c r="W30" s="7">
        <f>100-(N$436-Tabell2[[#This Row],[Befvekst10-T]])*100/N$439</f>
        <v>100</v>
      </c>
      <c r="X30" s="7">
        <f>100-(O$436-Tabell2[[#This Row],[Kvinneandel-T]])*100/O$439</f>
        <v>63.84420062635013</v>
      </c>
      <c r="Y30" s="7">
        <f>(P$436-Tabell2[[#This Row],[Eldreandel-T]])*100/P$439</f>
        <v>63.087425111026114</v>
      </c>
      <c r="Z30" s="7">
        <f>100-(Q$436-Tabell2[[#This Row],[Sysselsettingsvekst10-T]])*100/Q$439</f>
        <v>59.673434303835691</v>
      </c>
      <c r="AA30" s="7">
        <f>100-(R$436-Tabell2[[#This Row],[Yrkesaktivandel-T]])*100/R$439</f>
        <v>32.441327118867477</v>
      </c>
      <c r="AB30" s="7">
        <f>100-(S$436-Tabell2[[#This Row],[Inntekt-T]])*100/S$439</f>
        <v>41.978175063849548</v>
      </c>
      <c r="AC30" s="55">
        <f>Tabell2[[#This Row],[NIBR11-I]]*Vekter!$B$3</f>
        <v>20</v>
      </c>
      <c r="AD30" s="55">
        <f>Tabell2[[#This Row],[ReisetidOslo-I]]*Vekter!$C$3</f>
        <v>10</v>
      </c>
      <c r="AE30" s="55">
        <f>Tabell2[[#This Row],[Beftettotal-I]]*Vekter!$D$3</f>
        <v>1.162150920217252</v>
      </c>
      <c r="AF30" s="55">
        <f>Tabell2[[#This Row],[Befvekst10-I]]*Vekter!$E$3</f>
        <v>20</v>
      </c>
      <c r="AG30" s="55">
        <f>Tabell2[[#This Row],[Kvinneandel-I]]*Vekter!$F$3</f>
        <v>3.1922100313175066</v>
      </c>
      <c r="AH30" s="55">
        <f>Tabell2[[#This Row],[Eldreandel-I]]*Vekter!$G$3</f>
        <v>3.1543712555513057</v>
      </c>
      <c r="AI30" s="55">
        <f>Tabell2[[#This Row],[Sysselsettingsvekst10-I]]*Vekter!$H$3</f>
        <v>5.9673434303835693</v>
      </c>
      <c r="AJ30" s="55">
        <f>Tabell2[[#This Row],[Yrkesaktivandel-I]]*Vekter!$J$3</f>
        <v>3.2441327118867478</v>
      </c>
      <c r="AK30" s="55">
        <f>Tabell2[[#This Row],[Inntekt-I]]*Vekter!$L$3</f>
        <v>4.197817506384955</v>
      </c>
      <c r="AL30" s="56">
        <f>SUM(Tabell2[[#This Row],[NIBR11-v]:[Inntekt-v]])</f>
        <v>70.918025855741334</v>
      </c>
    </row>
    <row r="31" spans="1:38" x14ac:dyDescent="0.25">
      <c r="A31" s="2" t="s">
        <v>28</v>
      </c>
      <c r="B31">
        <f>'Rådata-K'!M30</f>
        <v>1</v>
      </c>
      <c r="C31" s="7">
        <f>'Rådata-K'!L30</f>
        <v>32.233333333300003</v>
      </c>
      <c r="D31" s="34">
        <f>'Rådata-K'!N30</f>
        <v>82.707385538670025</v>
      </c>
      <c r="E31" s="34">
        <f>'Rådata-K'!O30</f>
        <v>0.32216634429400393</v>
      </c>
      <c r="F31" s="34">
        <f>'Rådata-K'!P30</f>
        <v>0.12493416817836035</v>
      </c>
      <c r="G31" s="34">
        <f>'Rådata-K'!Q30</f>
        <v>0.1117092866756393</v>
      </c>
      <c r="H31" s="34">
        <f>'Rådata-K'!R30</f>
        <v>0.41745081266039352</v>
      </c>
      <c r="I31" s="34">
        <f>'Rådata-K'!S30</f>
        <v>0.88186487554326354</v>
      </c>
      <c r="J31" s="22">
        <f>'Rådata-K'!K30</f>
        <v>427800</v>
      </c>
      <c r="K31" s="22">
        <f>Tabell2[[#This Row],[NIBR11]]</f>
        <v>1</v>
      </c>
      <c r="L31" s="32">
        <f>IF(Tabell2[[#This Row],[ReisetidOslo]]&lt;=C$434,C$434,IF(Tabell2[[#This Row],[ReisetidOslo]]&gt;=C$435,C$435,Tabell2[[#This Row],[ReisetidOslo]]))</f>
        <v>52.54</v>
      </c>
      <c r="M31" s="32">
        <f>IF(Tabell2[[#This Row],[Beftettotal]]&lt;=D$434,D$434,IF(Tabell2[[#This Row],[Beftettotal]]&gt;=D$435,D$435,Tabell2[[#This Row],[Beftettotal]]))</f>
        <v>82.707385538670025</v>
      </c>
      <c r="N31" s="34">
        <f>IF(Tabell2[[#This Row],[Befvekst10]]&lt;=E$434,E$434,IF(Tabell2[[#This Row],[Befvekst10]]&gt;=E$435,E$435,Tabell2[[#This Row],[Befvekst10]]))</f>
        <v>0.17216678769030419</v>
      </c>
      <c r="O31" s="34">
        <f>IF(Tabell2[[#This Row],[Kvinneandel]]&lt;=F$434,F$434,IF(Tabell2[[#This Row],[Kvinneandel]]&gt;=F$435,F$435,Tabell2[[#This Row],[Kvinneandel]]))</f>
        <v>0.12493416817836035</v>
      </c>
      <c r="P31" s="34">
        <f>IF(Tabell2[[#This Row],[Eldreandel]]&lt;=G$434,G$434,IF(Tabell2[[#This Row],[Eldreandel]]&gt;=G$435,G$435,Tabell2[[#This Row],[Eldreandel]]))</f>
        <v>0.12312339657223466</v>
      </c>
      <c r="Q31" s="34">
        <f>IF(Tabell2[[#This Row],[Sysselsettingsvekst10]]&lt;=H$434,H$434,IF(Tabell2[[#This Row],[Sysselsettingsvekst10]]&gt;=H$435,H$435,Tabell2[[#This Row],[Sysselsettingsvekst10]]))</f>
        <v>0.26635476409167841</v>
      </c>
      <c r="R31" s="34">
        <f>IF(Tabell2[[#This Row],[Yrkesaktivandel]]&lt;=I$434,I$434,IF(Tabell2[[#This Row],[Yrkesaktivandel]]&gt;=I$435,I$435,Tabell2[[#This Row],[Yrkesaktivandel]]))</f>
        <v>0.88186487554326354</v>
      </c>
      <c r="S31" s="22">
        <f>IF(Tabell2[[#This Row],[Inntekt]]&lt;=J$434,J$434,IF(Tabell2[[#This Row],[Inntekt]]&gt;=J$435,J$435,Tabell2[[#This Row],[Inntekt]]))</f>
        <v>417780</v>
      </c>
      <c r="T31" s="22">
        <f>IF(Tabell2[[#This Row],[NIBR11-T]]&lt;=K$437,100,IF(Tabell2[[#This Row],[NIBR11-T]]&gt;=K$436,0,100*(K$436-Tabell2[[#This Row],[NIBR11-T]])/K$439))</f>
        <v>100</v>
      </c>
      <c r="U31" s="7">
        <f>IF(Tabell2[[#This Row],[ReisetidOslo-T]]&lt;=L$437,100,IF(Tabell2[[#This Row],[ReisetidOslo-T]]&gt;=L$436,0,100*(L$436-Tabell2[[#This Row],[ReisetidOslo-T]])/L$439))</f>
        <v>100</v>
      </c>
      <c r="V31" s="7">
        <f>100-(M$436-Tabell2[[#This Row],[Beftettotal-T]])*100/M$439</f>
        <v>62.951343854987513</v>
      </c>
      <c r="W31" s="7">
        <f>100-(N$436-Tabell2[[#This Row],[Befvekst10-T]])*100/N$439</f>
        <v>100</v>
      </c>
      <c r="X31" s="7">
        <f>100-(O$436-Tabell2[[#This Row],[Kvinneandel-T]])*100/O$439</f>
        <v>91.017555204504689</v>
      </c>
      <c r="Y31" s="7">
        <f>(P$436-Tabell2[[#This Row],[Eldreandel-T]])*100/P$439</f>
        <v>100</v>
      </c>
      <c r="Z31" s="7">
        <f>100-(Q$436-Tabell2[[#This Row],[Sysselsettingsvekst10-T]])*100/Q$439</f>
        <v>100</v>
      </c>
      <c r="AA31" s="7">
        <f>100-(R$436-Tabell2[[#This Row],[Yrkesaktivandel-T]])*100/R$439</f>
        <v>38.359507350146089</v>
      </c>
      <c r="AB31" s="7">
        <f>100-(S$436-Tabell2[[#This Row],[Inntekt-T]])*100/S$439</f>
        <v>100</v>
      </c>
      <c r="AC31" s="55">
        <f>Tabell2[[#This Row],[NIBR11-I]]*Vekter!$B$3</f>
        <v>20</v>
      </c>
      <c r="AD31" s="55">
        <f>Tabell2[[#This Row],[ReisetidOslo-I]]*Vekter!$C$3</f>
        <v>10</v>
      </c>
      <c r="AE31" s="55">
        <f>Tabell2[[#This Row],[Beftettotal-I]]*Vekter!$D$3</f>
        <v>6.295134385498752</v>
      </c>
      <c r="AF31" s="55">
        <f>Tabell2[[#This Row],[Befvekst10-I]]*Vekter!$E$3</f>
        <v>20</v>
      </c>
      <c r="AG31" s="55">
        <f>Tabell2[[#This Row],[Kvinneandel-I]]*Vekter!$F$3</f>
        <v>4.5508777602252346</v>
      </c>
      <c r="AH31" s="55">
        <f>Tabell2[[#This Row],[Eldreandel-I]]*Vekter!$G$3</f>
        <v>5</v>
      </c>
      <c r="AI31" s="55">
        <f>Tabell2[[#This Row],[Sysselsettingsvekst10-I]]*Vekter!$H$3</f>
        <v>10</v>
      </c>
      <c r="AJ31" s="55">
        <f>Tabell2[[#This Row],[Yrkesaktivandel-I]]*Vekter!$J$3</f>
        <v>3.8359507350146091</v>
      </c>
      <c r="AK31" s="55">
        <f>Tabell2[[#This Row],[Inntekt-I]]*Vekter!$L$3</f>
        <v>10</v>
      </c>
      <c r="AL31" s="56">
        <f>SUM(Tabell2[[#This Row],[NIBR11-v]:[Inntekt-v]])</f>
        <v>89.681962880738595</v>
      </c>
    </row>
    <row r="32" spans="1:38" x14ac:dyDescent="0.25">
      <c r="A32" s="2" t="s">
        <v>29</v>
      </c>
      <c r="B32">
        <f>'Rådata-K'!M31</f>
        <v>1</v>
      </c>
      <c r="C32" s="7">
        <f>'Rådata-K'!L31</f>
        <v>23.316666666700002</v>
      </c>
      <c r="D32" s="34">
        <f>'Rådata-K'!N31</f>
        <v>63.500793830800632</v>
      </c>
      <c r="E32" s="34">
        <f>'Rådata-K'!O31</f>
        <v>0.17058639071809334</v>
      </c>
      <c r="F32" s="34">
        <f>'Rådata-K'!P31</f>
        <v>0.11367086346995267</v>
      </c>
      <c r="G32" s="34">
        <f>'Rådata-K'!Q31</f>
        <v>0.12938655237074739</v>
      </c>
      <c r="H32" s="34">
        <f>'Rådata-K'!R31</f>
        <v>0.23314606741573041</v>
      </c>
      <c r="I32" s="34">
        <f>'Rådata-K'!S31</f>
        <v>0.88247702275124307</v>
      </c>
      <c r="J32" s="22">
        <f>'Rådata-K'!K31</f>
        <v>421600</v>
      </c>
      <c r="K32" s="22">
        <f>Tabell2[[#This Row],[NIBR11]]</f>
        <v>1</v>
      </c>
      <c r="L32" s="32">
        <f>IF(Tabell2[[#This Row],[ReisetidOslo]]&lt;=C$434,C$434,IF(Tabell2[[#This Row],[ReisetidOslo]]&gt;=C$435,C$435,Tabell2[[#This Row],[ReisetidOslo]]))</f>
        <v>52.54</v>
      </c>
      <c r="M32" s="32">
        <f>IF(Tabell2[[#This Row],[Beftettotal]]&lt;=D$434,D$434,IF(Tabell2[[#This Row],[Beftettotal]]&gt;=D$435,D$435,Tabell2[[#This Row],[Beftettotal]]))</f>
        <v>63.500793830800632</v>
      </c>
      <c r="N32" s="34">
        <f>IF(Tabell2[[#This Row],[Befvekst10]]&lt;=E$434,E$434,IF(Tabell2[[#This Row],[Befvekst10]]&gt;=E$435,E$435,Tabell2[[#This Row],[Befvekst10]]))</f>
        <v>0.17058639071809334</v>
      </c>
      <c r="O32" s="34">
        <f>IF(Tabell2[[#This Row],[Kvinneandel]]&lt;=F$434,F$434,IF(Tabell2[[#This Row],[Kvinneandel]]&gt;=F$435,F$435,Tabell2[[#This Row],[Kvinneandel]]))</f>
        <v>0.11367086346995267</v>
      </c>
      <c r="P32" s="34">
        <f>IF(Tabell2[[#This Row],[Eldreandel]]&lt;=G$434,G$434,IF(Tabell2[[#This Row],[Eldreandel]]&gt;=G$435,G$435,Tabell2[[#This Row],[Eldreandel]]))</f>
        <v>0.12938655237074739</v>
      </c>
      <c r="Q32" s="34">
        <f>IF(Tabell2[[#This Row],[Sysselsettingsvekst10]]&lt;=H$434,H$434,IF(Tabell2[[#This Row],[Sysselsettingsvekst10]]&gt;=H$435,H$435,Tabell2[[#This Row],[Sysselsettingsvekst10]]))</f>
        <v>0.23314606741573041</v>
      </c>
      <c r="R32" s="34">
        <f>IF(Tabell2[[#This Row],[Yrkesaktivandel]]&lt;=I$434,I$434,IF(Tabell2[[#This Row],[Yrkesaktivandel]]&gt;=I$435,I$435,Tabell2[[#This Row],[Yrkesaktivandel]]))</f>
        <v>0.88247702275124307</v>
      </c>
      <c r="S32" s="22">
        <f>IF(Tabell2[[#This Row],[Inntekt]]&lt;=J$434,J$434,IF(Tabell2[[#This Row],[Inntekt]]&gt;=J$435,J$435,Tabell2[[#This Row],[Inntekt]]))</f>
        <v>417780</v>
      </c>
      <c r="T32" s="22">
        <f>IF(Tabell2[[#This Row],[NIBR11-T]]&lt;=K$437,100,IF(Tabell2[[#This Row],[NIBR11-T]]&gt;=K$436,0,100*(K$436-Tabell2[[#This Row],[NIBR11-T]])/K$439))</f>
        <v>100</v>
      </c>
      <c r="U32" s="7">
        <f>IF(Tabell2[[#This Row],[ReisetidOslo-T]]&lt;=L$437,100,IF(Tabell2[[#This Row],[ReisetidOslo-T]]&gt;=L$436,0,100*(L$436-Tabell2[[#This Row],[ReisetidOslo-T]])/L$439))</f>
        <v>100</v>
      </c>
      <c r="V32" s="7">
        <f>100-(M$436-Tabell2[[#This Row],[Beftettotal-T]])*100/M$439</f>
        <v>48.093685733155951</v>
      </c>
      <c r="W32" s="7">
        <f>100-(N$436-Tabell2[[#This Row],[Befvekst10-T]])*100/N$439</f>
        <v>99.36367440882475</v>
      </c>
      <c r="X32" s="7">
        <f>100-(O$436-Tabell2[[#This Row],[Kvinneandel-T]])*100/O$439</f>
        <v>61.254481229401641</v>
      </c>
      <c r="Y32" s="7">
        <f>(P$436-Tabell2[[#This Row],[Eldreandel-T]])*100/P$439</f>
        <v>93.137134893429391</v>
      </c>
      <c r="Z32" s="7">
        <f>100-(Q$436-Tabell2[[#This Row],[Sysselsettingsvekst10-T]])*100/Q$439</f>
        <v>90.119054348008262</v>
      </c>
      <c r="AA32" s="7">
        <f>100-(R$436-Tabell2[[#This Row],[Yrkesaktivandel-T]])*100/R$439</f>
        <v>38.830182287364345</v>
      </c>
      <c r="AB32" s="7">
        <f>100-(S$436-Tabell2[[#This Row],[Inntekt-T]])*100/S$439</f>
        <v>100</v>
      </c>
      <c r="AC32" s="55">
        <f>Tabell2[[#This Row],[NIBR11-I]]*Vekter!$B$3</f>
        <v>20</v>
      </c>
      <c r="AD32" s="55">
        <f>Tabell2[[#This Row],[ReisetidOslo-I]]*Vekter!$C$3</f>
        <v>10</v>
      </c>
      <c r="AE32" s="55">
        <f>Tabell2[[#This Row],[Beftettotal-I]]*Vekter!$D$3</f>
        <v>4.8093685733155951</v>
      </c>
      <c r="AF32" s="55">
        <f>Tabell2[[#This Row],[Befvekst10-I]]*Vekter!$E$3</f>
        <v>19.872734881764952</v>
      </c>
      <c r="AG32" s="55">
        <f>Tabell2[[#This Row],[Kvinneandel-I]]*Vekter!$F$3</f>
        <v>3.0627240614700821</v>
      </c>
      <c r="AH32" s="55">
        <f>Tabell2[[#This Row],[Eldreandel-I]]*Vekter!$G$3</f>
        <v>4.6568567446714697</v>
      </c>
      <c r="AI32" s="55">
        <f>Tabell2[[#This Row],[Sysselsettingsvekst10-I]]*Vekter!$H$3</f>
        <v>9.011905434800827</v>
      </c>
      <c r="AJ32" s="55">
        <f>Tabell2[[#This Row],[Yrkesaktivandel-I]]*Vekter!$J$3</f>
        <v>3.8830182287364345</v>
      </c>
      <c r="AK32" s="55">
        <f>Tabell2[[#This Row],[Inntekt-I]]*Vekter!$L$3</f>
        <v>10</v>
      </c>
      <c r="AL32" s="56">
        <f>SUM(Tabell2[[#This Row],[NIBR11-v]:[Inntekt-v]])</f>
        <v>85.296607924759371</v>
      </c>
    </row>
    <row r="33" spans="1:38" x14ac:dyDescent="0.25">
      <c r="A33" s="2" t="s">
        <v>30</v>
      </c>
      <c r="B33">
        <f>'Rådata-K'!M32</f>
        <v>1</v>
      </c>
      <c r="C33" s="7">
        <f>'Rådata-K'!L32</f>
        <v>18.383333333300001</v>
      </c>
      <c r="D33" s="34">
        <f>'Rådata-K'!N32</f>
        <v>239.74609374999997</v>
      </c>
      <c r="E33" s="34">
        <f>'Rådata-K'!O32</f>
        <v>0.16138406433736563</v>
      </c>
      <c r="F33" s="34">
        <f>'Rådata-K'!P32</f>
        <v>0.13471050334594123</v>
      </c>
      <c r="G33" s="34">
        <f>'Rådata-K'!Q32</f>
        <v>0.11230724469013675</v>
      </c>
      <c r="H33" s="34">
        <f>'Rådata-K'!R32</f>
        <v>0.29358974358974366</v>
      </c>
      <c r="I33" s="34">
        <f>'Rådata-K'!S32</f>
        <v>0.8845676063067367</v>
      </c>
      <c r="J33" s="22">
        <f>'Rådata-K'!K32</f>
        <v>426900</v>
      </c>
      <c r="K33" s="22">
        <f>Tabell2[[#This Row],[NIBR11]]</f>
        <v>1</v>
      </c>
      <c r="L33" s="32">
        <f>IF(Tabell2[[#This Row],[ReisetidOslo]]&lt;=C$434,C$434,IF(Tabell2[[#This Row],[ReisetidOslo]]&gt;=C$435,C$435,Tabell2[[#This Row],[ReisetidOslo]]))</f>
        <v>52.54</v>
      </c>
      <c r="M33" s="32">
        <f>IF(Tabell2[[#This Row],[Beftettotal]]&lt;=D$434,D$434,IF(Tabell2[[#This Row],[Beftettotal]]&gt;=D$435,D$435,Tabell2[[#This Row],[Beftettotal]]))</f>
        <v>130.60042534801397</v>
      </c>
      <c r="N33" s="34">
        <f>IF(Tabell2[[#This Row],[Befvekst10]]&lt;=E$434,E$434,IF(Tabell2[[#This Row],[Befvekst10]]&gt;=E$435,E$435,Tabell2[[#This Row],[Befvekst10]]))</f>
        <v>0.16138406433736563</v>
      </c>
      <c r="O33" s="34">
        <f>IF(Tabell2[[#This Row],[Kvinneandel]]&lt;=F$434,F$434,IF(Tabell2[[#This Row],[Kvinneandel]]&gt;=F$435,F$435,Tabell2[[#This Row],[Kvinneandel]]))</f>
        <v>0.12833341426573511</v>
      </c>
      <c r="P33" s="34">
        <f>IF(Tabell2[[#This Row],[Eldreandel]]&lt;=G$434,G$434,IF(Tabell2[[#This Row],[Eldreandel]]&gt;=G$435,G$435,Tabell2[[#This Row],[Eldreandel]]))</f>
        <v>0.12312339657223466</v>
      </c>
      <c r="Q33" s="34">
        <f>IF(Tabell2[[#This Row],[Sysselsettingsvekst10]]&lt;=H$434,H$434,IF(Tabell2[[#This Row],[Sysselsettingsvekst10]]&gt;=H$435,H$435,Tabell2[[#This Row],[Sysselsettingsvekst10]]))</f>
        <v>0.26635476409167841</v>
      </c>
      <c r="R33" s="34">
        <f>IF(Tabell2[[#This Row],[Yrkesaktivandel]]&lt;=I$434,I$434,IF(Tabell2[[#This Row],[Yrkesaktivandel]]&gt;=I$435,I$435,Tabell2[[#This Row],[Yrkesaktivandel]]))</f>
        <v>0.8845676063067367</v>
      </c>
      <c r="S33" s="22">
        <f>IF(Tabell2[[#This Row],[Inntekt]]&lt;=J$434,J$434,IF(Tabell2[[#This Row],[Inntekt]]&gt;=J$435,J$435,Tabell2[[#This Row],[Inntekt]]))</f>
        <v>417780</v>
      </c>
      <c r="T33" s="22">
        <f>IF(Tabell2[[#This Row],[NIBR11-T]]&lt;=K$437,100,IF(Tabell2[[#This Row],[NIBR11-T]]&gt;=K$436,0,100*(K$436-Tabell2[[#This Row],[NIBR11-T]])/K$439))</f>
        <v>100</v>
      </c>
      <c r="U33" s="7">
        <f>IF(Tabell2[[#This Row],[ReisetidOslo-T]]&lt;=L$437,100,IF(Tabell2[[#This Row],[ReisetidOslo-T]]&gt;=L$436,0,100*(L$436-Tabell2[[#This Row],[ReisetidOslo-T]])/L$439))</f>
        <v>100</v>
      </c>
      <c r="V33" s="7">
        <f>100-(M$436-Tabell2[[#This Row],[Beftettotal-T]])*100/M$439</f>
        <v>100</v>
      </c>
      <c r="W33" s="7">
        <f>100-(N$436-Tabell2[[#This Row],[Befvekst10-T]])*100/N$439</f>
        <v>95.658481424170645</v>
      </c>
      <c r="X33" s="7">
        <f>100-(O$436-Tabell2[[#This Row],[Kvinneandel-T]])*100/O$439</f>
        <v>100</v>
      </c>
      <c r="Y33" s="7">
        <f>(P$436-Tabell2[[#This Row],[Eldreandel-T]])*100/P$439</f>
        <v>100</v>
      </c>
      <c r="Z33" s="7">
        <f>100-(Q$436-Tabell2[[#This Row],[Sysselsettingsvekst10-T]])*100/Q$439</f>
        <v>100</v>
      </c>
      <c r="AA33" s="7">
        <f>100-(R$436-Tabell2[[#This Row],[Yrkesaktivandel-T]])*100/R$439</f>
        <v>40.4376147331959</v>
      </c>
      <c r="AB33" s="7">
        <f>100-(S$436-Tabell2[[#This Row],[Inntekt-T]])*100/S$439</f>
        <v>100</v>
      </c>
      <c r="AC33" s="55">
        <f>Tabell2[[#This Row],[NIBR11-I]]*Vekter!$B$3</f>
        <v>20</v>
      </c>
      <c r="AD33" s="55">
        <f>Tabell2[[#This Row],[ReisetidOslo-I]]*Vekter!$C$3</f>
        <v>10</v>
      </c>
      <c r="AE33" s="55">
        <f>Tabell2[[#This Row],[Beftettotal-I]]*Vekter!$D$3</f>
        <v>10</v>
      </c>
      <c r="AF33" s="55">
        <f>Tabell2[[#This Row],[Befvekst10-I]]*Vekter!$E$3</f>
        <v>19.131696284834131</v>
      </c>
      <c r="AG33" s="55">
        <f>Tabell2[[#This Row],[Kvinneandel-I]]*Vekter!$F$3</f>
        <v>5</v>
      </c>
      <c r="AH33" s="55">
        <f>Tabell2[[#This Row],[Eldreandel-I]]*Vekter!$G$3</f>
        <v>5</v>
      </c>
      <c r="AI33" s="55">
        <f>Tabell2[[#This Row],[Sysselsettingsvekst10-I]]*Vekter!$H$3</f>
        <v>10</v>
      </c>
      <c r="AJ33" s="55">
        <f>Tabell2[[#This Row],[Yrkesaktivandel-I]]*Vekter!$J$3</f>
        <v>4.0437614733195906</v>
      </c>
      <c r="AK33" s="55">
        <f>Tabell2[[#This Row],[Inntekt-I]]*Vekter!$L$3</f>
        <v>10</v>
      </c>
      <c r="AL33" s="56">
        <f>SUM(Tabell2[[#This Row],[NIBR11-v]:[Inntekt-v]])</f>
        <v>93.175457758153726</v>
      </c>
    </row>
    <row r="34" spans="1:38" x14ac:dyDescent="0.25">
      <c r="A34" s="2" t="s">
        <v>31</v>
      </c>
      <c r="B34">
        <f>'Rådata-K'!M33</f>
        <v>1</v>
      </c>
      <c r="C34" s="7">
        <f>'Rådata-K'!L33</f>
        <v>34.9</v>
      </c>
      <c r="D34" s="34">
        <f>'Rådata-K'!N33</f>
        <v>46.263651216785625</v>
      </c>
      <c r="E34" s="34">
        <f>'Rådata-K'!O33</f>
        <v>0.15736259008282238</v>
      </c>
      <c r="F34" s="34">
        <f>'Rådata-K'!P33</f>
        <v>0.12184014869888476</v>
      </c>
      <c r="G34" s="34">
        <f>'Rådata-K'!Q33</f>
        <v>0.1100371747211896</v>
      </c>
      <c r="H34" s="34">
        <f>'Rådata-K'!R33</f>
        <v>0.27288968289414917</v>
      </c>
      <c r="I34" s="34">
        <f>'Rådata-K'!S33</f>
        <v>0.87390075376884424</v>
      </c>
      <c r="J34" s="22">
        <f>'Rådata-K'!K33</f>
        <v>405800</v>
      </c>
      <c r="K34" s="22">
        <f>Tabell2[[#This Row],[NIBR11]]</f>
        <v>1</v>
      </c>
      <c r="L34" s="32">
        <f>IF(Tabell2[[#This Row],[ReisetidOslo]]&lt;=C$434,C$434,IF(Tabell2[[#This Row],[ReisetidOslo]]&gt;=C$435,C$435,Tabell2[[#This Row],[ReisetidOslo]]))</f>
        <v>52.54</v>
      </c>
      <c r="M34" s="32">
        <f>IF(Tabell2[[#This Row],[Beftettotal]]&lt;=D$434,D$434,IF(Tabell2[[#This Row],[Beftettotal]]&gt;=D$435,D$435,Tabell2[[#This Row],[Beftettotal]]))</f>
        <v>46.263651216785625</v>
      </c>
      <c r="N34" s="34">
        <f>IF(Tabell2[[#This Row],[Befvekst10]]&lt;=E$434,E$434,IF(Tabell2[[#This Row],[Befvekst10]]&gt;=E$435,E$435,Tabell2[[#This Row],[Befvekst10]]))</f>
        <v>0.15736259008282238</v>
      </c>
      <c r="O34" s="34">
        <f>IF(Tabell2[[#This Row],[Kvinneandel]]&lt;=F$434,F$434,IF(Tabell2[[#This Row],[Kvinneandel]]&gt;=F$435,F$435,Tabell2[[#This Row],[Kvinneandel]]))</f>
        <v>0.12184014869888476</v>
      </c>
      <c r="P34" s="34">
        <f>IF(Tabell2[[#This Row],[Eldreandel]]&lt;=G$434,G$434,IF(Tabell2[[#This Row],[Eldreandel]]&gt;=G$435,G$435,Tabell2[[#This Row],[Eldreandel]]))</f>
        <v>0.12312339657223466</v>
      </c>
      <c r="Q34" s="34">
        <f>IF(Tabell2[[#This Row],[Sysselsettingsvekst10]]&lt;=H$434,H$434,IF(Tabell2[[#This Row],[Sysselsettingsvekst10]]&gt;=H$435,H$435,Tabell2[[#This Row],[Sysselsettingsvekst10]]))</f>
        <v>0.26635476409167841</v>
      </c>
      <c r="R34" s="34">
        <f>IF(Tabell2[[#This Row],[Yrkesaktivandel]]&lt;=I$434,I$434,IF(Tabell2[[#This Row],[Yrkesaktivandel]]&gt;=I$435,I$435,Tabell2[[#This Row],[Yrkesaktivandel]]))</f>
        <v>0.87390075376884424</v>
      </c>
      <c r="S34" s="22">
        <f>IF(Tabell2[[#This Row],[Inntekt]]&lt;=J$434,J$434,IF(Tabell2[[#This Row],[Inntekt]]&gt;=J$435,J$435,Tabell2[[#This Row],[Inntekt]]))</f>
        <v>405800</v>
      </c>
      <c r="T34" s="22">
        <f>IF(Tabell2[[#This Row],[NIBR11-T]]&lt;=K$437,100,IF(Tabell2[[#This Row],[NIBR11-T]]&gt;=K$436,0,100*(K$436-Tabell2[[#This Row],[NIBR11-T]])/K$439))</f>
        <v>100</v>
      </c>
      <c r="U34" s="7">
        <f>IF(Tabell2[[#This Row],[ReisetidOslo-T]]&lt;=L$437,100,IF(Tabell2[[#This Row],[ReisetidOslo-T]]&gt;=L$436,0,100*(L$436-Tabell2[[#This Row],[ReisetidOslo-T]])/L$439))</f>
        <v>100</v>
      </c>
      <c r="V34" s="7">
        <f>100-(M$436-Tabell2[[#This Row],[Beftettotal-T]])*100/M$439</f>
        <v>34.759535882333793</v>
      </c>
      <c r="W34" s="7">
        <f>100-(N$436-Tabell2[[#This Row],[Befvekst10-T]])*100/N$439</f>
        <v>94.039288887476204</v>
      </c>
      <c r="X34" s="7">
        <f>100-(O$436-Tabell2[[#This Row],[Kvinneandel-T]])*100/O$439</f>
        <v>82.841666064321743</v>
      </c>
      <c r="Y34" s="7">
        <f>(P$436-Tabell2[[#This Row],[Eldreandel-T]])*100/P$439</f>
        <v>100</v>
      </c>
      <c r="Z34" s="7">
        <f>100-(Q$436-Tabell2[[#This Row],[Sysselsettingsvekst10-T]])*100/Q$439</f>
        <v>100</v>
      </c>
      <c r="AA34" s="7">
        <f>100-(R$436-Tabell2[[#This Row],[Yrkesaktivandel-T]])*100/R$439</f>
        <v>32.235959831983223</v>
      </c>
      <c r="AB34" s="7">
        <f>100-(S$436-Tabell2[[#This Row],[Inntekt-T]])*100/S$439</f>
        <v>86.0924077083817</v>
      </c>
      <c r="AC34" s="55">
        <f>Tabell2[[#This Row],[NIBR11-I]]*Vekter!$B$3</f>
        <v>20</v>
      </c>
      <c r="AD34" s="55">
        <f>Tabell2[[#This Row],[ReisetidOslo-I]]*Vekter!$C$3</f>
        <v>10</v>
      </c>
      <c r="AE34" s="55">
        <f>Tabell2[[#This Row],[Beftettotal-I]]*Vekter!$D$3</f>
        <v>3.4759535882333794</v>
      </c>
      <c r="AF34" s="55">
        <f>Tabell2[[#This Row],[Befvekst10-I]]*Vekter!$E$3</f>
        <v>18.80785777749524</v>
      </c>
      <c r="AG34" s="55">
        <f>Tabell2[[#This Row],[Kvinneandel-I]]*Vekter!$F$3</f>
        <v>4.1420833032160873</v>
      </c>
      <c r="AH34" s="55">
        <f>Tabell2[[#This Row],[Eldreandel-I]]*Vekter!$G$3</f>
        <v>5</v>
      </c>
      <c r="AI34" s="55">
        <f>Tabell2[[#This Row],[Sysselsettingsvekst10-I]]*Vekter!$H$3</f>
        <v>10</v>
      </c>
      <c r="AJ34" s="55">
        <f>Tabell2[[#This Row],[Yrkesaktivandel-I]]*Vekter!$J$3</f>
        <v>3.2235959831983223</v>
      </c>
      <c r="AK34" s="55">
        <f>Tabell2[[#This Row],[Inntekt-I]]*Vekter!$L$3</f>
        <v>8.60924077083817</v>
      </c>
      <c r="AL34" s="56">
        <f>SUM(Tabell2[[#This Row],[NIBR11-v]:[Inntekt-v]])</f>
        <v>83.258731422981214</v>
      </c>
    </row>
    <row r="35" spans="1:38" x14ac:dyDescent="0.25">
      <c r="A35" s="2" t="s">
        <v>32</v>
      </c>
      <c r="B35">
        <f>'Rådata-K'!M34</f>
        <v>1</v>
      </c>
      <c r="C35" s="7">
        <f>'Rådata-K'!L34</f>
        <v>11.7</v>
      </c>
      <c r="D35" s="34">
        <f>'Rådata-K'!N34</f>
        <v>498.07228915662654</v>
      </c>
      <c r="E35" s="34">
        <f>'Rådata-K'!O34</f>
        <v>0.14552567237163805</v>
      </c>
      <c r="F35" s="34">
        <f>'Rådata-K'!P34</f>
        <v>0.11844389424855574</v>
      </c>
      <c r="G35" s="34">
        <f>'Rådata-K'!Q34</f>
        <v>0.12905888044622785</v>
      </c>
      <c r="H35" s="34">
        <f>'Rådata-K'!R34</f>
        <v>0.30692546378820884</v>
      </c>
      <c r="I35" s="34">
        <f>'Rådata-K'!S34</f>
        <v>0.86703787260596166</v>
      </c>
      <c r="J35" s="22">
        <f>'Rådata-K'!K34</f>
        <v>438800</v>
      </c>
      <c r="K35" s="22">
        <f>Tabell2[[#This Row],[NIBR11]]</f>
        <v>1</v>
      </c>
      <c r="L35" s="32">
        <f>IF(Tabell2[[#This Row],[ReisetidOslo]]&lt;=C$434,C$434,IF(Tabell2[[#This Row],[ReisetidOslo]]&gt;=C$435,C$435,Tabell2[[#This Row],[ReisetidOslo]]))</f>
        <v>52.54</v>
      </c>
      <c r="M35" s="32">
        <f>IF(Tabell2[[#This Row],[Beftettotal]]&lt;=D$434,D$434,IF(Tabell2[[#This Row],[Beftettotal]]&gt;=D$435,D$435,Tabell2[[#This Row],[Beftettotal]]))</f>
        <v>130.60042534801397</v>
      </c>
      <c r="N35" s="34">
        <f>IF(Tabell2[[#This Row],[Befvekst10]]&lt;=E$434,E$434,IF(Tabell2[[#This Row],[Befvekst10]]&gt;=E$435,E$435,Tabell2[[#This Row],[Befvekst10]]))</f>
        <v>0.14552567237163805</v>
      </c>
      <c r="O35" s="34">
        <f>IF(Tabell2[[#This Row],[Kvinneandel]]&lt;=F$434,F$434,IF(Tabell2[[#This Row],[Kvinneandel]]&gt;=F$435,F$435,Tabell2[[#This Row],[Kvinneandel]]))</f>
        <v>0.11844389424855574</v>
      </c>
      <c r="P35" s="34">
        <f>IF(Tabell2[[#This Row],[Eldreandel]]&lt;=G$434,G$434,IF(Tabell2[[#This Row],[Eldreandel]]&gt;=G$435,G$435,Tabell2[[#This Row],[Eldreandel]]))</f>
        <v>0.12905888044622785</v>
      </c>
      <c r="Q35" s="34">
        <f>IF(Tabell2[[#This Row],[Sysselsettingsvekst10]]&lt;=H$434,H$434,IF(Tabell2[[#This Row],[Sysselsettingsvekst10]]&gt;=H$435,H$435,Tabell2[[#This Row],[Sysselsettingsvekst10]]))</f>
        <v>0.26635476409167841</v>
      </c>
      <c r="R35" s="34">
        <f>IF(Tabell2[[#This Row],[Yrkesaktivandel]]&lt;=I$434,I$434,IF(Tabell2[[#This Row],[Yrkesaktivandel]]&gt;=I$435,I$435,Tabell2[[#This Row],[Yrkesaktivandel]]))</f>
        <v>0.86703787260596166</v>
      </c>
      <c r="S35" s="22">
        <f>IF(Tabell2[[#This Row],[Inntekt]]&lt;=J$434,J$434,IF(Tabell2[[#This Row],[Inntekt]]&gt;=J$435,J$435,Tabell2[[#This Row],[Inntekt]]))</f>
        <v>417780</v>
      </c>
      <c r="T35" s="22">
        <f>IF(Tabell2[[#This Row],[NIBR11-T]]&lt;=K$437,100,IF(Tabell2[[#This Row],[NIBR11-T]]&gt;=K$436,0,100*(K$436-Tabell2[[#This Row],[NIBR11-T]])/K$439))</f>
        <v>100</v>
      </c>
      <c r="U35" s="7">
        <f>IF(Tabell2[[#This Row],[ReisetidOslo-T]]&lt;=L$437,100,IF(Tabell2[[#This Row],[ReisetidOslo-T]]&gt;=L$436,0,100*(L$436-Tabell2[[#This Row],[ReisetidOslo-T]])/L$439))</f>
        <v>100</v>
      </c>
      <c r="V35" s="7">
        <f>100-(M$436-Tabell2[[#This Row],[Beftettotal-T]])*100/M$439</f>
        <v>100</v>
      </c>
      <c r="W35" s="7">
        <f>100-(N$436-Tabell2[[#This Row],[Befvekst10-T]])*100/N$439</f>
        <v>89.273313127774912</v>
      </c>
      <c r="X35" s="7">
        <f>100-(O$436-Tabell2[[#This Row],[Kvinneandel-T]])*100/O$439</f>
        <v>73.867126614282668</v>
      </c>
      <c r="Y35" s="7">
        <f>(P$436-Tabell2[[#This Row],[Eldreandel-T]])*100/P$439</f>
        <v>93.496182039873062</v>
      </c>
      <c r="Z35" s="7">
        <f>100-(Q$436-Tabell2[[#This Row],[Sysselsettingsvekst10-T]])*100/Q$439</f>
        <v>100</v>
      </c>
      <c r="AA35" s="7">
        <f>100-(R$436-Tabell2[[#This Row],[Yrkesaktivandel-T]])*100/R$439</f>
        <v>26.959147133387759</v>
      </c>
      <c r="AB35" s="7">
        <f>100-(S$436-Tabell2[[#This Row],[Inntekt-T]])*100/S$439</f>
        <v>100</v>
      </c>
      <c r="AC35" s="55">
        <f>Tabell2[[#This Row],[NIBR11-I]]*Vekter!$B$3</f>
        <v>20</v>
      </c>
      <c r="AD35" s="55">
        <f>Tabell2[[#This Row],[ReisetidOslo-I]]*Vekter!$C$3</f>
        <v>10</v>
      </c>
      <c r="AE35" s="55">
        <f>Tabell2[[#This Row],[Beftettotal-I]]*Vekter!$D$3</f>
        <v>10</v>
      </c>
      <c r="AF35" s="55">
        <f>Tabell2[[#This Row],[Befvekst10-I]]*Vekter!$E$3</f>
        <v>17.854662625554983</v>
      </c>
      <c r="AG35" s="55">
        <f>Tabell2[[#This Row],[Kvinneandel-I]]*Vekter!$F$3</f>
        <v>3.6933563307141335</v>
      </c>
      <c r="AH35" s="55">
        <f>Tabell2[[#This Row],[Eldreandel-I]]*Vekter!$G$3</f>
        <v>4.6748091019936533</v>
      </c>
      <c r="AI35" s="55">
        <f>Tabell2[[#This Row],[Sysselsettingsvekst10-I]]*Vekter!$H$3</f>
        <v>10</v>
      </c>
      <c r="AJ35" s="55">
        <f>Tabell2[[#This Row],[Yrkesaktivandel-I]]*Vekter!$J$3</f>
        <v>2.6959147133387762</v>
      </c>
      <c r="AK35" s="55">
        <f>Tabell2[[#This Row],[Inntekt-I]]*Vekter!$L$3</f>
        <v>10</v>
      </c>
      <c r="AL35" s="56">
        <f>SUM(Tabell2[[#This Row],[NIBR11-v]:[Inntekt-v]])</f>
        <v>88.918742771601543</v>
      </c>
    </row>
    <row r="36" spans="1:38" x14ac:dyDescent="0.25">
      <c r="A36" s="2" t="s">
        <v>33</v>
      </c>
      <c r="B36">
        <f>'Rådata-K'!M35</f>
        <v>1</v>
      </c>
      <c r="C36" s="7">
        <f>'Rådata-K'!L35</f>
        <v>16.133333333300001</v>
      </c>
      <c r="D36" s="34">
        <f>'Rådata-K'!N35</f>
        <v>671.4044652128764</v>
      </c>
      <c r="E36" s="34">
        <f>'Rådata-K'!O35</f>
        <v>0.22879745331876267</v>
      </c>
      <c r="F36" s="34">
        <f>'Rådata-K'!P35</f>
        <v>0.12835186080231997</v>
      </c>
      <c r="G36" s="34">
        <f>'Rådata-K'!Q35</f>
        <v>0.13252779120347993</v>
      </c>
      <c r="H36" s="34">
        <f>'Rådata-K'!R35</f>
        <v>0.25952789133588294</v>
      </c>
      <c r="I36" s="34">
        <f>'Rådata-K'!S35</f>
        <v>0.8651153746435053</v>
      </c>
      <c r="J36" s="22">
        <f>'Rådata-K'!K35</f>
        <v>424700</v>
      </c>
      <c r="K36" s="22">
        <f>Tabell2[[#This Row],[NIBR11]]</f>
        <v>1</v>
      </c>
      <c r="L36" s="32">
        <f>IF(Tabell2[[#This Row],[ReisetidOslo]]&lt;=C$434,C$434,IF(Tabell2[[#This Row],[ReisetidOslo]]&gt;=C$435,C$435,Tabell2[[#This Row],[ReisetidOslo]]))</f>
        <v>52.54</v>
      </c>
      <c r="M36" s="32">
        <f>IF(Tabell2[[#This Row],[Beftettotal]]&lt;=D$434,D$434,IF(Tabell2[[#This Row],[Beftettotal]]&gt;=D$435,D$435,Tabell2[[#This Row],[Beftettotal]]))</f>
        <v>130.60042534801397</v>
      </c>
      <c r="N36" s="34">
        <f>IF(Tabell2[[#This Row],[Befvekst10]]&lt;=E$434,E$434,IF(Tabell2[[#This Row],[Befvekst10]]&gt;=E$435,E$435,Tabell2[[#This Row],[Befvekst10]]))</f>
        <v>0.17216678769030419</v>
      </c>
      <c r="O36" s="34">
        <f>IF(Tabell2[[#This Row],[Kvinneandel]]&lt;=F$434,F$434,IF(Tabell2[[#This Row],[Kvinneandel]]&gt;=F$435,F$435,Tabell2[[#This Row],[Kvinneandel]]))</f>
        <v>0.12833341426573511</v>
      </c>
      <c r="P36" s="34">
        <f>IF(Tabell2[[#This Row],[Eldreandel]]&lt;=G$434,G$434,IF(Tabell2[[#This Row],[Eldreandel]]&gt;=G$435,G$435,Tabell2[[#This Row],[Eldreandel]]))</f>
        <v>0.13252779120347993</v>
      </c>
      <c r="Q36" s="34">
        <f>IF(Tabell2[[#This Row],[Sysselsettingsvekst10]]&lt;=H$434,H$434,IF(Tabell2[[#This Row],[Sysselsettingsvekst10]]&gt;=H$435,H$435,Tabell2[[#This Row],[Sysselsettingsvekst10]]))</f>
        <v>0.25952789133588294</v>
      </c>
      <c r="R36" s="34">
        <f>IF(Tabell2[[#This Row],[Yrkesaktivandel]]&lt;=I$434,I$434,IF(Tabell2[[#This Row],[Yrkesaktivandel]]&gt;=I$435,I$435,Tabell2[[#This Row],[Yrkesaktivandel]]))</f>
        <v>0.8651153746435053</v>
      </c>
      <c r="S36" s="22">
        <f>IF(Tabell2[[#This Row],[Inntekt]]&lt;=J$434,J$434,IF(Tabell2[[#This Row],[Inntekt]]&gt;=J$435,J$435,Tabell2[[#This Row],[Inntekt]]))</f>
        <v>417780</v>
      </c>
      <c r="T36" s="22">
        <f>IF(Tabell2[[#This Row],[NIBR11-T]]&lt;=K$437,100,IF(Tabell2[[#This Row],[NIBR11-T]]&gt;=K$436,0,100*(K$436-Tabell2[[#This Row],[NIBR11-T]])/K$439))</f>
        <v>100</v>
      </c>
      <c r="U36" s="7">
        <f>IF(Tabell2[[#This Row],[ReisetidOslo-T]]&lt;=L$437,100,IF(Tabell2[[#This Row],[ReisetidOslo-T]]&gt;=L$436,0,100*(L$436-Tabell2[[#This Row],[ReisetidOslo-T]])/L$439))</f>
        <v>100</v>
      </c>
      <c r="V36" s="7">
        <f>100-(M$436-Tabell2[[#This Row],[Beftettotal-T]])*100/M$439</f>
        <v>100</v>
      </c>
      <c r="W36" s="7">
        <f>100-(N$436-Tabell2[[#This Row],[Befvekst10-T]])*100/N$439</f>
        <v>100</v>
      </c>
      <c r="X36" s="7">
        <f>100-(O$436-Tabell2[[#This Row],[Kvinneandel-T]])*100/O$439</f>
        <v>100</v>
      </c>
      <c r="Y36" s="7">
        <f>(P$436-Tabell2[[#This Row],[Eldreandel-T]])*100/P$439</f>
        <v>89.695116353561062</v>
      </c>
      <c r="Z36" s="7">
        <f>100-(Q$436-Tabell2[[#This Row],[Sysselsettingsvekst10-T]])*100/Q$439</f>
        <v>97.968726104149269</v>
      </c>
      <c r="AA36" s="7">
        <f>100-(R$436-Tabell2[[#This Row],[Yrkesaktivandel-T]])*100/R$439</f>
        <v>25.480954313121487</v>
      </c>
      <c r="AB36" s="7">
        <f>100-(S$436-Tabell2[[#This Row],[Inntekt-T]])*100/S$439</f>
        <v>100</v>
      </c>
      <c r="AC36" s="55">
        <f>Tabell2[[#This Row],[NIBR11-I]]*Vekter!$B$3</f>
        <v>20</v>
      </c>
      <c r="AD36" s="55">
        <f>Tabell2[[#This Row],[ReisetidOslo-I]]*Vekter!$C$3</f>
        <v>10</v>
      </c>
      <c r="AE36" s="55">
        <f>Tabell2[[#This Row],[Beftettotal-I]]*Vekter!$D$3</f>
        <v>10</v>
      </c>
      <c r="AF36" s="55">
        <f>Tabell2[[#This Row],[Befvekst10-I]]*Vekter!$E$3</f>
        <v>20</v>
      </c>
      <c r="AG36" s="55">
        <f>Tabell2[[#This Row],[Kvinneandel-I]]*Vekter!$F$3</f>
        <v>5</v>
      </c>
      <c r="AH36" s="55">
        <f>Tabell2[[#This Row],[Eldreandel-I]]*Vekter!$G$3</f>
        <v>4.4847558176780531</v>
      </c>
      <c r="AI36" s="55">
        <f>Tabell2[[#This Row],[Sysselsettingsvekst10-I]]*Vekter!$H$3</f>
        <v>9.796872610414928</v>
      </c>
      <c r="AJ36" s="55">
        <f>Tabell2[[#This Row],[Yrkesaktivandel-I]]*Vekter!$J$3</f>
        <v>2.5480954313121487</v>
      </c>
      <c r="AK36" s="55">
        <f>Tabell2[[#This Row],[Inntekt-I]]*Vekter!$L$3</f>
        <v>10</v>
      </c>
      <c r="AL36" s="56">
        <f>SUM(Tabell2[[#This Row],[NIBR11-v]:[Inntekt-v]])</f>
        <v>91.829723859405121</v>
      </c>
    </row>
    <row r="37" spans="1:38" x14ac:dyDescent="0.25">
      <c r="A37" s="2" t="s">
        <v>34</v>
      </c>
      <c r="B37">
        <f>'Rådata-K'!M36</f>
        <v>1</v>
      </c>
      <c r="C37" s="7">
        <f>'Rådata-K'!L36</f>
        <v>24.833333333300001</v>
      </c>
      <c r="D37" s="34">
        <f>'Rådata-K'!N36</f>
        <v>121.93104929653099</v>
      </c>
      <c r="E37" s="34">
        <f>'Rådata-K'!O36</f>
        <v>0.15977117172336297</v>
      </c>
      <c r="F37" s="34">
        <f>'Rådata-K'!P36</f>
        <v>0.11239320003523298</v>
      </c>
      <c r="G37" s="34">
        <f>'Rådata-K'!Q36</f>
        <v>0.11829472386153439</v>
      </c>
      <c r="H37" s="34">
        <f>'Rådata-K'!R36</f>
        <v>0.18013131601484433</v>
      </c>
      <c r="I37" s="34">
        <f>'Rådata-K'!S36</f>
        <v>0.89900662251655628</v>
      </c>
      <c r="J37" s="22">
        <f>'Rådata-K'!K36</f>
        <v>450400</v>
      </c>
      <c r="K37" s="22">
        <f>Tabell2[[#This Row],[NIBR11]]</f>
        <v>1</v>
      </c>
      <c r="L37" s="32">
        <f>IF(Tabell2[[#This Row],[ReisetidOslo]]&lt;=C$434,C$434,IF(Tabell2[[#This Row],[ReisetidOslo]]&gt;=C$435,C$435,Tabell2[[#This Row],[ReisetidOslo]]))</f>
        <v>52.54</v>
      </c>
      <c r="M37" s="32">
        <f>IF(Tabell2[[#This Row],[Beftettotal]]&lt;=D$434,D$434,IF(Tabell2[[#This Row],[Beftettotal]]&gt;=D$435,D$435,Tabell2[[#This Row],[Beftettotal]]))</f>
        <v>121.93104929653099</v>
      </c>
      <c r="N37" s="34">
        <f>IF(Tabell2[[#This Row],[Befvekst10]]&lt;=E$434,E$434,IF(Tabell2[[#This Row],[Befvekst10]]&gt;=E$435,E$435,Tabell2[[#This Row],[Befvekst10]]))</f>
        <v>0.15977117172336297</v>
      </c>
      <c r="O37" s="34">
        <f>IF(Tabell2[[#This Row],[Kvinneandel]]&lt;=F$434,F$434,IF(Tabell2[[#This Row],[Kvinneandel]]&gt;=F$435,F$435,Tabell2[[#This Row],[Kvinneandel]]))</f>
        <v>0.11239320003523298</v>
      </c>
      <c r="P37" s="34">
        <f>IF(Tabell2[[#This Row],[Eldreandel]]&lt;=G$434,G$434,IF(Tabell2[[#This Row],[Eldreandel]]&gt;=G$435,G$435,Tabell2[[#This Row],[Eldreandel]]))</f>
        <v>0.12312339657223466</v>
      </c>
      <c r="Q37" s="34">
        <f>IF(Tabell2[[#This Row],[Sysselsettingsvekst10]]&lt;=H$434,H$434,IF(Tabell2[[#This Row],[Sysselsettingsvekst10]]&gt;=H$435,H$435,Tabell2[[#This Row],[Sysselsettingsvekst10]]))</f>
        <v>0.18013131601484433</v>
      </c>
      <c r="R37" s="34">
        <f>IF(Tabell2[[#This Row],[Yrkesaktivandel]]&lt;=I$434,I$434,IF(Tabell2[[#This Row],[Yrkesaktivandel]]&gt;=I$435,I$435,Tabell2[[#This Row],[Yrkesaktivandel]]))</f>
        <v>0.89900662251655628</v>
      </c>
      <c r="S37" s="22">
        <f>IF(Tabell2[[#This Row],[Inntekt]]&lt;=J$434,J$434,IF(Tabell2[[#This Row],[Inntekt]]&gt;=J$435,J$435,Tabell2[[#This Row],[Inntekt]]))</f>
        <v>417780</v>
      </c>
      <c r="T37" s="22">
        <f>IF(Tabell2[[#This Row],[NIBR11-T]]&lt;=K$437,100,IF(Tabell2[[#This Row],[NIBR11-T]]&gt;=K$436,0,100*(K$436-Tabell2[[#This Row],[NIBR11-T]])/K$439))</f>
        <v>100</v>
      </c>
      <c r="U37" s="7">
        <f>IF(Tabell2[[#This Row],[ReisetidOslo-T]]&lt;=L$437,100,IF(Tabell2[[#This Row],[ReisetidOslo-T]]&gt;=L$436,0,100*(L$436-Tabell2[[#This Row],[ReisetidOslo-T]])/L$439))</f>
        <v>100</v>
      </c>
      <c r="V37" s="7">
        <f>100-(M$436-Tabell2[[#This Row],[Beftettotal-T]])*100/M$439</f>
        <v>93.29362400879522</v>
      </c>
      <c r="W37" s="7">
        <f>100-(N$436-Tabell2[[#This Row],[Befvekst10-T]])*100/N$439</f>
        <v>95.009071899757487</v>
      </c>
      <c r="X37" s="7">
        <f>100-(O$436-Tabell2[[#This Row],[Kvinneandel-T]])*100/O$439</f>
        <v>57.878279279146284</v>
      </c>
      <c r="Y37" s="7">
        <f>(P$436-Tabell2[[#This Row],[Eldreandel-T]])*100/P$439</f>
        <v>100</v>
      </c>
      <c r="Z37" s="7">
        <f>100-(Q$436-Tabell2[[#This Row],[Sysselsettingsvekst10-T]])*100/Q$439</f>
        <v>74.344997255144207</v>
      </c>
      <c r="AA37" s="7">
        <f>100-(R$436-Tabell2[[#This Row],[Yrkesaktivandel-T]])*100/R$439</f>
        <v>51.539655156579691</v>
      </c>
      <c r="AB37" s="7">
        <f>100-(S$436-Tabell2[[#This Row],[Inntekt-T]])*100/S$439</f>
        <v>100</v>
      </c>
      <c r="AC37" s="55">
        <f>Tabell2[[#This Row],[NIBR11-I]]*Vekter!$B$3</f>
        <v>20</v>
      </c>
      <c r="AD37" s="55">
        <f>Tabell2[[#This Row],[ReisetidOslo-I]]*Vekter!$C$3</f>
        <v>10</v>
      </c>
      <c r="AE37" s="55">
        <f>Tabell2[[#This Row],[Beftettotal-I]]*Vekter!$D$3</f>
        <v>9.3293624008795231</v>
      </c>
      <c r="AF37" s="55">
        <f>Tabell2[[#This Row],[Befvekst10-I]]*Vekter!$E$3</f>
        <v>19.001814379951497</v>
      </c>
      <c r="AG37" s="55">
        <f>Tabell2[[#This Row],[Kvinneandel-I]]*Vekter!$F$3</f>
        <v>2.8939139639573144</v>
      </c>
      <c r="AH37" s="55">
        <f>Tabell2[[#This Row],[Eldreandel-I]]*Vekter!$G$3</f>
        <v>5</v>
      </c>
      <c r="AI37" s="55">
        <f>Tabell2[[#This Row],[Sysselsettingsvekst10-I]]*Vekter!$H$3</f>
        <v>7.4344997255144207</v>
      </c>
      <c r="AJ37" s="55">
        <f>Tabell2[[#This Row],[Yrkesaktivandel-I]]*Vekter!$J$3</f>
        <v>5.1539655156579691</v>
      </c>
      <c r="AK37" s="55">
        <f>Tabell2[[#This Row],[Inntekt-I]]*Vekter!$L$3</f>
        <v>10</v>
      </c>
      <c r="AL37" s="56">
        <f>SUM(Tabell2[[#This Row],[NIBR11-v]:[Inntekt-v]])</f>
        <v>88.813555985960733</v>
      </c>
    </row>
    <row r="38" spans="1:38" x14ac:dyDescent="0.25">
      <c r="A38" s="2" t="s">
        <v>35</v>
      </c>
      <c r="B38">
        <f>'Rådata-K'!M37</f>
        <v>1</v>
      </c>
      <c r="C38" s="7">
        <f>'Rådata-K'!L37</f>
        <v>23.8</v>
      </c>
      <c r="D38" s="34">
        <f>'Rådata-K'!N37</f>
        <v>76.042793605000597</v>
      </c>
      <c r="E38" s="34">
        <f>'Rådata-K'!O37</f>
        <v>0.24921011058451814</v>
      </c>
      <c r="F38" s="34">
        <f>'Rådata-K'!P37</f>
        <v>0.1038570976920645</v>
      </c>
      <c r="G38" s="34">
        <f>'Rådata-K'!Q37</f>
        <v>0.11966487511855833</v>
      </c>
      <c r="H38" s="34">
        <f>'Rådata-K'!R37</f>
        <v>0.27655986509274877</v>
      </c>
      <c r="I38" s="34">
        <f>'Rådata-K'!S37</f>
        <v>0.92160560344827591</v>
      </c>
      <c r="J38" s="22">
        <f>'Rådata-K'!K37</f>
        <v>449000</v>
      </c>
      <c r="K38" s="22">
        <f>Tabell2[[#This Row],[NIBR11]]</f>
        <v>1</v>
      </c>
      <c r="L38" s="32">
        <f>IF(Tabell2[[#This Row],[ReisetidOslo]]&lt;=C$434,C$434,IF(Tabell2[[#This Row],[ReisetidOslo]]&gt;=C$435,C$435,Tabell2[[#This Row],[ReisetidOslo]]))</f>
        <v>52.54</v>
      </c>
      <c r="M38" s="32">
        <f>IF(Tabell2[[#This Row],[Beftettotal]]&lt;=D$434,D$434,IF(Tabell2[[#This Row],[Beftettotal]]&gt;=D$435,D$435,Tabell2[[#This Row],[Beftettotal]]))</f>
        <v>76.042793605000597</v>
      </c>
      <c r="N38" s="34">
        <f>IF(Tabell2[[#This Row],[Befvekst10]]&lt;=E$434,E$434,IF(Tabell2[[#This Row],[Befvekst10]]&gt;=E$435,E$435,Tabell2[[#This Row],[Befvekst10]]))</f>
        <v>0.17216678769030419</v>
      </c>
      <c r="O38" s="34">
        <f>IF(Tabell2[[#This Row],[Kvinneandel]]&lt;=F$434,F$434,IF(Tabell2[[#This Row],[Kvinneandel]]&gt;=F$435,F$435,Tabell2[[#This Row],[Kvinneandel]]))</f>
        <v>0.1038570976920645</v>
      </c>
      <c r="P38" s="34">
        <f>IF(Tabell2[[#This Row],[Eldreandel]]&lt;=G$434,G$434,IF(Tabell2[[#This Row],[Eldreandel]]&gt;=G$435,G$435,Tabell2[[#This Row],[Eldreandel]]))</f>
        <v>0.12312339657223466</v>
      </c>
      <c r="Q38" s="34">
        <f>IF(Tabell2[[#This Row],[Sysselsettingsvekst10]]&lt;=H$434,H$434,IF(Tabell2[[#This Row],[Sysselsettingsvekst10]]&gt;=H$435,H$435,Tabell2[[#This Row],[Sysselsettingsvekst10]]))</f>
        <v>0.26635476409167841</v>
      </c>
      <c r="R38" s="34">
        <f>IF(Tabell2[[#This Row],[Yrkesaktivandel]]&lt;=I$434,I$434,IF(Tabell2[[#This Row],[Yrkesaktivandel]]&gt;=I$435,I$435,Tabell2[[#This Row],[Yrkesaktivandel]]))</f>
        <v>0.92160560344827591</v>
      </c>
      <c r="S38" s="22">
        <f>IF(Tabell2[[#This Row],[Inntekt]]&lt;=J$434,J$434,IF(Tabell2[[#This Row],[Inntekt]]&gt;=J$435,J$435,Tabell2[[#This Row],[Inntekt]]))</f>
        <v>417780</v>
      </c>
      <c r="T38" s="22">
        <f>IF(Tabell2[[#This Row],[NIBR11-T]]&lt;=K$437,100,IF(Tabell2[[#This Row],[NIBR11-T]]&gt;=K$436,0,100*(K$436-Tabell2[[#This Row],[NIBR11-T]])/K$439))</f>
        <v>100</v>
      </c>
      <c r="U38" s="7">
        <f>IF(Tabell2[[#This Row],[ReisetidOslo-T]]&lt;=L$437,100,IF(Tabell2[[#This Row],[ReisetidOslo-T]]&gt;=L$436,0,100*(L$436-Tabell2[[#This Row],[ReisetidOslo-T]])/L$439))</f>
        <v>100</v>
      </c>
      <c r="V38" s="7">
        <f>100-(M$436-Tabell2[[#This Row],[Beftettotal-T]])*100/M$439</f>
        <v>57.795810276825087</v>
      </c>
      <c r="W38" s="7">
        <f>100-(N$436-Tabell2[[#This Row],[Befvekst10-T]])*100/N$439</f>
        <v>100</v>
      </c>
      <c r="X38" s="7">
        <f>100-(O$436-Tabell2[[#This Row],[Kvinneandel-T]])*100/O$439</f>
        <v>35.321787017232595</v>
      </c>
      <c r="Y38" s="7">
        <f>(P$436-Tabell2[[#This Row],[Eldreandel-T]])*100/P$439</f>
        <v>100</v>
      </c>
      <c r="Z38" s="7">
        <f>100-(Q$436-Tabell2[[#This Row],[Sysselsettingsvekst10-T]])*100/Q$439</f>
        <v>100</v>
      </c>
      <c r="AA38" s="7">
        <f>100-(R$436-Tabell2[[#This Row],[Yrkesaktivandel-T]])*100/R$439</f>
        <v>68.915825124489587</v>
      </c>
      <c r="AB38" s="7">
        <f>100-(S$436-Tabell2[[#This Row],[Inntekt-T]])*100/S$439</f>
        <v>100</v>
      </c>
      <c r="AC38" s="55">
        <f>Tabell2[[#This Row],[NIBR11-I]]*Vekter!$B$3</f>
        <v>20</v>
      </c>
      <c r="AD38" s="55">
        <f>Tabell2[[#This Row],[ReisetidOslo-I]]*Vekter!$C$3</f>
        <v>10</v>
      </c>
      <c r="AE38" s="55">
        <f>Tabell2[[#This Row],[Beftettotal-I]]*Vekter!$D$3</f>
        <v>5.779581027682509</v>
      </c>
      <c r="AF38" s="55">
        <f>Tabell2[[#This Row],[Befvekst10-I]]*Vekter!$E$3</f>
        <v>20</v>
      </c>
      <c r="AG38" s="55">
        <f>Tabell2[[#This Row],[Kvinneandel-I]]*Vekter!$F$3</f>
        <v>1.7660893508616298</v>
      </c>
      <c r="AH38" s="55">
        <f>Tabell2[[#This Row],[Eldreandel-I]]*Vekter!$G$3</f>
        <v>5</v>
      </c>
      <c r="AI38" s="55">
        <f>Tabell2[[#This Row],[Sysselsettingsvekst10-I]]*Vekter!$H$3</f>
        <v>10</v>
      </c>
      <c r="AJ38" s="55">
        <f>Tabell2[[#This Row],[Yrkesaktivandel-I]]*Vekter!$J$3</f>
        <v>6.8915825124489594</v>
      </c>
      <c r="AK38" s="55">
        <f>Tabell2[[#This Row],[Inntekt-I]]*Vekter!$L$3</f>
        <v>10</v>
      </c>
      <c r="AL38" s="56">
        <f>SUM(Tabell2[[#This Row],[NIBR11-v]:[Inntekt-v]])</f>
        <v>89.437252890993108</v>
      </c>
    </row>
    <row r="39" spans="1:38" x14ac:dyDescent="0.25">
      <c r="A39" s="2" t="s">
        <v>36</v>
      </c>
      <c r="B39">
        <f>'Rådata-K'!M38</f>
        <v>1</v>
      </c>
      <c r="C39" s="7">
        <f>'Rådata-K'!L38</f>
        <v>27.9666666667</v>
      </c>
      <c r="D39" s="34">
        <f>'Rådata-K'!N38</f>
        <v>131.93646769913258</v>
      </c>
      <c r="E39" s="34">
        <f>'Rådata-K'!O38</f>
        <v>0.3564912852256068</v>
      </c>
      <c r="F39" s="34">
        <f>'Rådata-K'!P38</f>
        <v>0.13209246472530772</v>
      </c>
      <c r="G39" s="34">
        <f>'Rådata-K'!Q38</f>
        <v>0.11212848994296007</v>
      </c>
      <c r="H39" s="34">
        <f>'Rådata-K'!R38</f>
        <v>0.27477216456829789</v>
      </c>
      <c r="I39" s="34">
        <f>'Rådata-K'!S38</f>
        <v>0.86903624754914288</v>
      </c>
      <c r="J39" s="22">
        <f>'Rådata-K'!K38</f>
        <v>414500</v>
      </c>
      <c r="K39" s="22">
        <f>Tabell2[[#This Row],[NIBR11]]</f>
        <v>1</v>
      </c>
      <c r="L39" s="32">
        <f>IF(Tabell2[[#This Row],[ReisetidOslo]]&lt;=C$434,C$434,IF(Tabell2[[#This Row],[ReisetidOslo]]&gt;=C$435,C$435,Tabell2[[#This Row],[ReisetidOslo]]))</f>
        <v>52.54</v>
      </c>
      <c r="M39" s="32">
        <f>IF(Tabell2[[#This Row],[Beftettotal]]&lt;=D$434,D$434,IF(Tabell2[[#This Row],[Beftettotal]]&gt;=D$435,D$435,Tabell2[[#This Row],[Beftettotal]]))</f>
        <v>130.60042534801397</v>
      </c>
      <c r="N39" s="34">
        <f>IF(Tabell2[[#This Row],[Befvekst10]]&lt;=E$434,E$434,IF(Tabell2[[#This Row],[Befvekst10]]&gt;=E$435,E$435,Tabell2[[#This Row],[Befvekst10]]))</f>
        <v>0.17216678769030419</v>
      </c>
      <c r="O39" s="34">
        <f>IF(Tabell2[[#This Row],[Kvinneandel]]&lt;=F$434,F$434,IF(Tabell2[[#This Row],[Kvinneandel]]&gt;=F$435,F$435,Tabell2[[#This Row],[Kvinneandel]]))</f>
        <v>0.12833341426573511</v>
      </c>
      <c r="P39" s="34">
        <f>IF(Tabell2[[#This Row],[Eldreandel]]&lt;=G$434,G$434,IF(Tabell2[[#This Row],[Eldreandel]]&gt;=G$435,G$435,Tabell2[[#This Row],[Eldreandel]]))</f>
        <v>0.12312339657223466</v>
      </c>
      <c r="Q39" s="34">
        <f>IF(Tabell2[[#This Row],[Sysselsettingsvekst10]]&lt;=H$434,H$434,IF(Tabell2[[#This Row],[Sysselsettingsvekst10]]&gt;=H$435,H$435,Tabell2[[#This Row],[Sysselsettingsvekst10]]))</f>
        <v>0.26635476409167841</v>
      </c>
      <c r="R39" s="34">
        <f>IF(Tabell2[[#This Row],[Yrkesaktivandel]]&lt;=I$434,I$434,IF(Tabell2[[#This Row],[Yrkesaktivandel]]&gt;=I$435,I$435,Tabell2[[#This Row],[Yrkesaktivandel]]))</f>
        <v>0.86903624754914288</v>
      </c>
      <c r="S39" s="22">
        <f>IF(Tabell2[[#This Row],[Inntekt]]&lt;=J$434,J$434,IF(Tabell2[[#This Row],[Inntekt]]&gt;=J$435,J$435,Tabell2[[#This Row],[Inntekt]]))</f>
        <v>414500</v>
      </c>
      <c r="T39" s="22">
        <f>IF(Tabell2[[#This Row],[NIBR11-T]]&lt;=K$437,100,IF(Tabell2[[#This Row],[NIBR11-T]]&gt;=K$436,0,100*(K$436-Tabell2[[#This Row],[NIBR11-T]])/K$439))</f>
        <v>100</v>
      </c>
      <c r="U39" s="7">
        <f>IF(Tabell2[[#This Row],[ReisetidOslo-T]]&lt;=L$437,100,IF(Tabell2[[#This Row],[ReisetidOslo-T]]&gt;=L$436,0,100*(L$436-Tabell2[[#This Row],[ReisetidOslo-T]])/L$439))</f>
        <v>100</v>
      </c>
      <c r="V39" s="7">
        <f>100-(M$436-Tabell2[[#This Row],[Beftettotal-T]])*100/M$439</f>
        <v>100</v>
      </c>
      <c r="W39" s="7">
        <f>100-(N$436-Tabell2[[#This Row],[Befvekst10-T]])*100/N$439</f>
        <v>100</v>
      </c>
      <c r="X39" s="7">
        <f>100-(O$436-Tabell2[[#This Row],[Kvinneandel-T]])*100/O$439</f>
        <v>100</v>
      </c>
      <c r="Y39" s="7">
        <f>(P$436-Tabell2[[#This Row],[Eldreandel-T]])*100/P$439</f>
        <v>100</v>
      </c>
      <c r="Z39" s="7">
        <f>100-(Q$436-Tabell2[[#This Row],[Sysselsettingsvekst10-T]])*100/Q$439</f>
        <v>100</v>
      </c>
      <c r="AA39" s="7">
        <f>100-(R$436-Tabell2[[#This Row],[Yrkesaktivandel-T]])*100/R$439</f>
        <v>28.495681138051268</v>
      </c>
      <c r="AB39" s="7">
        <f>100-(S$436-Tabell2[[#This Row],[Inntekt-T]])*100/S$439</f>
        <v>96.192245182261431</v>
      </c>
      <c r="AC39" s="55">
        <f>Tabell2[[#This Row],[NIBR11-I]]*Vekter!$B$3</f>
        <v>20</v>
      </c>
      <c r="AD39" s="55">
        <f>Tabell2[[#This Row],[ReisetidOslo-I]]*Vekter!$C$3</f>
        <v>10</v>
      </c>
      <c r="AE39" s="55">
        <f>Tabell2[[#This Row],[Beftettotal-I]]*Vekter!$D$3</f>
        <v>10</v>
      </c>
      <c r="AF39" s="55">
        <f>Tabell2[[#This Row],[Befvekst10-I]]*Vekter!$E$3</f>
        <v>20</v>
      </c>
      <c r="AG39" s="55">
        <f>Tabell2[[#This Row],[Kvinneandel-I]]*Vekter!$F$3</f>
        <v>5</v>
      </c>
      <c r="AH39" s="55">
        <f>Tabell2[[#This Row],[Eldreandel-I]]*Vekter!$G$3</f>
        <v>5</v>
      </c>
      <c r="AI39" s="55">
        <f>Tabell2[[#This Row],[Sysselsettingsvekst10-I]]*Vekter!$H$3</f>
        <v>10</v>
      </c>
      <c r="AJ39" s="55">
        <f>Tabell2[[#This Row],[Yrkesaktivandel-I]]*Vekter!$J$3</f>
        <v>2.8495681138051268</v>
      </c>
      <c r="AK39" s="55">
        <f>Tabell2[[#This Row],[Inntekt-I]]*Vekter!$L$3</f>
        <v>9.6192245182261438</v>
      </c>
      <c r="AL39" s="56">
        <f>SUM(Tabell2[[#This Row],[NIBR11-v]:[Inntekt-v]])</f>
        <v>92.468792632031281</v>
      </c>
    </row>
    <row r="40" spans="1:38" x14ac:dyDescent="0.25">
      <c r="A40" s="2" t="s">
        <v>37</v>
      </c>
      <c r="B40">
        <f>'Rådata-K'!M39</f>
        <v>1</v>
      </c>
      <c r="C40" s="7">
        <f>'Rådata-K'!L39</f>
        <v>38.733333333300003</v>
      </c>
      <c r="D40" s="34">
        <f>'Rådata-K'!N39</f>
        <v>32.023221150074527</v>
      </c>
      <c r="E40" s="34">
        <f>'Rådata-K'!O39</f>
        <v>0.13231622746185856</v>
      </c>
      <c r="F40" s="34">
        <f>'Rådata-K'!P39</f>
        <v>0.11896129348358647</v>
      </c>
      <c r="G40" s="34">
        <f>'Rådata-K'!Q39</f>
        <v>0.13170014698677118</v>
      </c>
      <c r="H40" s="34">
        <f>'Rådata-K'!R39</f>
        <v>0.18419415059116373</v>
      </c>
      <c r="I40" s="34">
        <f>'Rådata-K'!S39</f>
        <v>0.86554895417921385</v>
      </c>
      <c r="J40" s="22">
        <f>'Rådata-K'!K39</f>
        <v>382000</v>
      </c>
      <c r="K40" s="22">
        <f>Tabell2[[#This Row],[NIBR11]]</f>
        <v>1</v>
      </c>
      <c r="L40" s="32">
        <f>IF(Tabell2[[#This Row],[ReisetidOslo]]&lt;=C$434,C$434,IF(Tabell2[[#This Row],[ReisetidOslo]]&gt;=C$435,C$435,Tabell2[[#This Row],[ReisetidOslo]]))</f>
        <v>52.54</v>
      </c>
      <c r="M40" s="32">
        <f>IF(Tabell2[[#This Row],[Beftettotal]]&lt;=D$434,D$434,IF(Tabell2[[#This Row],[Beftettotal]]&gt;=D$435,D$435,Tabell2[[#This Row],[Beftettotal]]))</f>
        <v>32.023221150074527</v>
      </c>
      <c r="N40" s="34">
        <f>IF(Tabell2[[#This Row],[Befvekst10]]&lt;=E$434,E$434,IF(Tabell2[[#This Row],[Befvekst10]]&gt;=E$435,E$435,Tabell2[[#This Row],[Befvekst10]]))</f>
        <v>0.13231622746185856</v>
      </c>
      <c r="O40" s="34">
        <f>IF(Tabell2[[#This Row],[Kvinneandel]]&lt;=F$434,F$434,IF(Tabell2[[#This Row],[Kvinneandel]]&gt;=F$435,F$435,Tabell2[[#This Row],[Kvinneandel]]))</f>
        <v>0.11896129348358647</v>
      </c>
      <c r="P40" s="34">
        <f>IF(Tabell2[[#This Row],[Eldreandel]]&lt;=G$434,G$434,IF(Tabell2[[#This Row],[Eldreandel]]&gt;=G$435,G$435,Tabell2[[#This Row],[Eldreandel]]))</f>
        <v>0.13170014698677118</v>
      </c>
      <c r="Q40" s="34">
        <f>IF(Tabell2[[#This Row],[Sysselsettingsvekst10]]&lt;=H$434,H$434,IF(Tabell2[[#This Row],[Sysselsettingsvekst10]]&gt;=H$435,H$435,Tabell2[[#This Row],[Sysselsettingsvekst10]]))</f>
        <v>0.18419415059116373</v>
      </c>
      <c r="R40" s="34">
        <f>IF(Tabell2[[#This Row],[Yrkesaktivandel]]&lt;=I$434,I$434,IF(Tabell2[[#This Row],[Yrkesaktivandel]]&gt;=I$435,I$435,Tabell2[[#This Row],[Yrkesaktivandel]]))</f>
        <v>0.86554895417921385</v>
      </c>
      <c r="S40" s="22">
        <f>IF(Tabell2[[#This Row],[Inntekt]]&lt;=J$434,J$434,IF(Tabell2[[#This Row],[Inntekt]]&gt;=J$435,J$435,Tabell2[[#This Row],[Inntekt]]))</f>
        <v>382000</v>
      </c>
      <c r="T40" s="22">
        <f>IF(Tabell2[[#This Row],[NIBR11-T]]&lt;=K$437,100,IF(Tabell2[[#This Row],[NIBR11-T]]&gt;=K$436,0,100*(K$436-Tabell2[[#This Row],[NIBR11-T]])/K$439))</f>
        <v>100</v>
      </c>
      <c r="U40" s="7">
        <f>IF(Tabell2[[#This Row],[ReisetidOslo-T]]&lt;=L$437,100,IF(Tabell2[[#This Row],[ReisetidOslo-T]]&gt;=L$436,0,100*(L$436-Tabell2[[#This Row],[ReisetidOslo-T]])/L$439))</f>
        <v>100</v>
      </c>
      <c r="V40" s="7">
        <f>100-(M$436-Tabell2[[#This Row],[Beftettotal-T]])*100/M$439</f>
        <v>23.743555293109537</v>
      </c>
      <c r="W40" s="7">
        <f>100-(N$436-Tabell2[[#This Row],[Befvekst10-T]])*100/N$439</f>
        <v>83.954707746271453</v>
      </c>
      <c r="X40" s="7">
        <f>100-(O$436-Tabell2[[#This Row],[Kvinneandel-T]])*100/O$439</f>
        <v>75.234344505083953</v>
      </c>
      <c r="Y40" s="7">
        <f>(P$436-Tabell2[[#This Row],[Eldreandel-T]])*100/P$439</f>
        <v>90.602009108305282</v>
      </c>
      <c r="Z40" s="7">
        <f>100-(Q$436-Tabell2[[#This Row],[Sysselsettingsvekst10-T]])*100/Q$439</f>
        <v>75.553856730521346</v>
      </c>
      <c r="AA40" s="7">
        <f>100-(R$436-Tabell2[[#This Row],[Yrkesaktivandel-T]])*100/R$439</f>
        <v>25.814330040542231</v>
      </c>
      <c r="AB40" s="7">
        <f>100-(S$436-Tabell2[[#This Row],[Inntekt-T]])*100/S$439</f>
        <v>58.462967262595775</v>
      </c>
      <c r="AC40" s="55">
        <f>Tabell2[[#This Row],[NIBR11-I]]*Vekter!$B$3</f>
        <v>20</v>
      </c>
      <c r="AD40" s="55">
        <f>Tabell2[[#This Row],[ReisetidOslo-I]]*Vekter!$C$3</f>
        <v>10</v>
      </c>
      <c r="AE40" s="55">
        <f>Tabell2[[#This Row],[Beftettotal-I]]*Vekter!$D$3</f>
        <v>2.3743555293109537</v>
      </c>
      <c r="AF40" s="55">
        <f>Tabell2[[#This Row],[Befvekst10-I]]*Vekter!$E$3</f>
        <v>16.790941549254292</v>
      </c>
      <c r="AG40" s="55">
        <f>Tabell2[[#This Row],[Kvinneandel-I]]*Vekter!$F$3</f>
        <v>3.7617172252541979</v>
      </c>
      <c r="AH40" s="55">
        <f>Tabell2[[#This Row],[Eldreandel-I]]*Vekter!$G$3</f>
        <v>4.5301004554152646</v>
      </c>
      <c r="AI40" s="55">
        <f>Tabell2[[#This Row],[Sysselsettingsvekst10-I]]*Vekter!$H$3</f>
        <v>7.5553856730521352</v>
      </c>
      <c r="AJ40" s="55">
        <f>Tabell2[[#This Row],[Yrkesaktivandel-I]]*Vekter!$J$3</f>
        <v>2.5814330040542233</v>
      </c>
      <c r="AK40" s="55">
        <f>Tabell2[[#This Row],[Inntekt-I]]*Vekter!$L$3</f>
        <v>5.8462967262595775</v>
      </c>
      <c r="AL40" s="56">
        <f>SUM(Tabell2[[#This Row],[NIBR11-v]:[Inntekt-v]])</f>
        <v>73.440230162600642</v>
      </c>
    </row>
    <row r="41" spans="1:38" x14ac:dyDescent="0.25">
      <c r="A41" s="2" t="s">
        <v>38</v>
      </c>
      <c r="B41">
        <f>'Rådata-K'!M40</f>
        <v>1</v>
      </c>
      <c r="C41" s="7">
        <f>'Rådata-K'!L40</f>
        <v>47.133333333300001</v>
      </c>
      <c r="D41" s="34">
        <f>'Rådata-K'!N40</f>
        <v>50.904709748083242</v>
      </c>
      <c r="E41" s="34">
        <f>'Rådata-K'!O40</f>
        <v>0.24687449696839625</v>
      </c>
      <c r="F41" s="34">
        <f>'Rådata-K'!P40</f>
        <v>0.12587141750580946</v>
      </c>
      <c r="G41" s="34">
        <f>'Rådata-K'!Q40</f>
        <v>0.12935708752904726</v>
      </c>
      <c r="H41" s="34">
        <f>'Rådata-K'!R40</f>
        <v>7.5419449421729956E-2</v>
      </c>
      <c r="I41" s="34">
        <f>'Rådata-K'!S40</f>
        <v>0.84820201143187901</v>
      </c>
      <c r="J41" s="22">
        <f>'Rådata-K'!K40</f>
        <v>381100</v>
      </c>
      <c r="K41" s="22">
        <f>Tabell2[[#This Row],[NIBR11]]</f>
        <v>1</v>
      </c>
      <c r="L41" s="32">
        <f>IF(Tabell2[[#This Row],[ReisetidOslo]]&lt;=C$434,C$434,IF(Tabell2[[#This Row],[ReisetidOslo]]&gt;=C$435,C$435,Tabell2[[#This Row],[ReisetidOslo]]))</f>
        <v>52.54</v>
      </c>
      <c r="M41" s="32">
        <f>IF(Tabell2[[#This Row],[Beftettotal]]&lt;=D$434,D$434,IF(Tabell2[[#This Row],[Beftettotal]]&gt;=D$435,D$435,Tabell2[[#This Row],[Beftettotal]]))</f>
        <v>50.904709748083242</v>
      </c>
      <c r="N41" s="34">
        <f>IF(Tabell2[[#This Row],[Befvekst10]]&lt;=E$434,E$434,IF(Tabell2[[#This Row],[Befvekst10]]&gt;=E$435,E$435,Tabell2[[#This Row],[Befvekst10]]))</f>
        <v>0.17216678769030419</v>
      </c>
      <c r="O41" s="34">
        <f>IF(Tabell2[[#This Row],[Kvinneandel]]&lt;=F$434,F$434,IF(Tabell2[[#This Row],[Kvinneandel]]&gt;=F$435,F$435,Tabell2[[#This Row],[Kvinneandel]]))</f>
        <v>0.12587141750580946</v>
      </c>
      <c r="P41" s="34">
        <f>IF(Tabell2[[#This Row],[Eldreandel]]&lt;=G$434,G$434,IF(Tabell2[[#This Row],[Eldreandel]]&gt;=G$435,G$435,Tabell2[[#This Row],[Eldreandel]]))</f>
        <v>0.12935708752904726</v>
      </c>
      <c r="Q41" s="34">
        <f>IF(Tabell2[[#This Row],[Sysselsettingsvekst10]]&lt;=H$434,H$434,IF(Tabell2[[#This Row],[Sysselsettingsvekst10]]&gt;=H$435,H$435,Tabell2[[#This Row],[Sysselsettingsvekst10]]))</f>
        <v>7.5419449421729956E-2</v>
      </c>
      <c r="R41" s="34">
        <f>IF(Tabell2[[#This Row],[Yrkesaktivandel]]&lt;=I$434,I$434,IF(Tabell2[[#This Row],[Yrkesaktivandel]]&gt;=I$435,I$435,Tabell2[[#This Row],[Yrkesaktivandel]]))</f>
        <v>0.84820201143187901</v>
      </c>
      <c r="S41" s="22">
        <f>IF(Tabell2[[#This Row],[Inntekt]]&lt;=J$434,J$434,IF(Tabell2[[#This Row],[Inntekt]]&gt;=J$435,J$435,Tabell2[[#This Row],[Inntekt]]))</f>
        <v>381100</v>
      </c>
      <c r="T41" s="22">
        <f>IF(Tabell2[[#This Row],[NIBR11-T]]&lt;=K$437,100,IF(Tabell2[[#This Row],[NIBR11-T]]&gt;=K$436,0,100*(K$436-Tabell2[[#This Row],[NIBR11-T]])/K$439))</f>
        <v>100</v>
      </c>
      <c r="U41" s="7">
        <f>IF(Tabell2[[#This Row],[ReisetidOslo-T]]&lt;=L$437,100,IF(Tabell2[[#This Row],[ReisetidOslo-T]]&gt;=L$436,0,100*(L$436-Tabell2[[#This Row],[ReisetidOslo-T]])/L$439))</f>
        <v>100</v>
      </c>
      <c r="V41" s="7">
        <f>100-(M$436-Tabell2[[#This Row],[Beftettotal-T]])*100/M$439</f>
        <v>38.349723148780285</v>
      </c>
      <c r="W41" s="7">
        <f>100-(N$436-Tabell2[[#This Row],[Befvekst10-T]])*100/N$439</f>
        <v>100</v>
      </c>
      <c r="X41" s="7">
        <f>100-(O$436-Tabell2[[#This Row],[Kvinneandel-T]])*100/O$439</f>
        <v>93.494219184407541</v>
      </c>
      <c r="Y41" s="7">
        <f>(P$436-Tabell2[[#This Row],[Eldreandel-T]])*100/P$439</f>
        <v>93.169421050836263</v>
      </c>
      <c r="Z41" s="7">
        <f>100-(Q$436-Tabell2[[#This Row],[Sysselsettingsvekst10-T]])*100/Q$439</f>
        <v>43.188933738970803</v>
      </c>
      <c r="AA41" s="7">
        <f>100-(R$436-Tabell2[[#This Row],[Yrkesaktivandel-T]])*100/R$439</f>
        <v>12.476408896575165</v>
      </c>
      <c r="AB41" s="7">
        <f>100-(S$436-Tabell2[[#This Row],[Inntekt-T]])*100/S$439</f>
        <v>57.418156489435802</v>
      </c>
      <c r="AC41" s="55">
        <f>Tabell2[[#This Row],[NIBR11-I]]*Vekter!$B$3</f>
        <v>20</v>
      </c>
      <c r="AD41" s="55">
        <f>Tabell2[[#This Row],[ReisetidOslo-I]]*Vekter!$C$3</f>
        <v>10</v>
      </c>
      <c r="AE41" s="55">
        <f>Tabell2[[#This Row],[Beftettotal-I]]*Vekter!$D$3</f>
        <v>3.8349723148780286</v>
      </c>
      <c r="AF41" s="55">
        <f>Tabell2[[#This Row],[Befvekst10-I]]*Vekter!$E$3</f>
        <v>20</v>
      </c>
      <c r="AG41" s="55">
        <f>Tabell2[[#This Row],[Kvinneandel-I]]*Vekter!$F$3</f>
        <v>4.674710959220377</v>
      </c>
      <c r="AH41" s="55">
        <f>Tabell2[[#This Row],[Eldreandel-I]]*Vekter!$G$3</f>
        <v>4.6584710525418132</v>
      </c>
      <c r="AI41" s="55">
        <f>Tabell2[[#This Row],[Sysselsettingsvekst10-I]]*Vekter!$H$3</f>
        <v>4.3188933738970805</v>
      </c>
      <c r="AJ41" s="55">
        <f>Tabell2[[#This Row],[Yrkesaktivandel-I]]*Vekter!$J$3</f>
        <v>1.2476408896575166</v>
      </c>
      <c r="AK41" s="55">
        <f>Tabell2[[#This Row],[Inntekt-I]]*Vekter!$L$3</f>
        <v>5.7418156489435805</v>
      </c>
      <c r="AL41" s="56">
        <f>SUM(Tabell2[[#This Row],[NIBR11-v]:[Inntekt-v]])</f>
        <v>74.476504239138407</v>
      </c>
    </row>
    <row r="42" spans="1:38" x14ac:dyDescent="0.25">
      <c r="A42" s="2" t="s">
        <v>39</v>
      </c>
      <c r="B42">
        <f>'Rådata-K'!M41</f>
        <v>1</v>
      </c>
      <c r="C42" s="7">
        <f>'Rådata-K'!L41</f>
        <v>40.200000000000003</v>
      </c>
      <c r="D42" s="34">
        <f>'Rådata-K'!N41</f>
        <v>34.845596645062905</v>
      </c>
      <c r="E42" s="34">
        <f>'Rådata-K'!O41</f>
        <v>0.17167932156592047</v>
      </c>
      <c r="F42" s="34">
        <f>'Rådata-K'!P41</f>
        <v>0.12236997138528867</v>
      </c>
      <c r="G42" s="34">
        <f>'Rådata-K'!Q41</f>
        <v>0.11496381080626157</v>
      </c>
      <c r="H42" s="34">
        <f>'Rådata-K'!R41</f>
        <v>0.38164026095060577</v>
      </c>
      <c r="I42" s="34">
        <f>'Rådata-K'!S41</f>
        <v>0.88083263481419394</v>
      </c>
      <c r="J42" s="22">
        <f>'Rådata-K'!K41</f>
        <v>390000</v>
      </c>
      <c r="K42" s="22">
        <f>Tabell2[[#This Row],[NIBR11]]</f>
        <v>1</v>
      </c>
      <c r="L42" s="32">
        <f>IF(Tabell2[[#This Row],[ReisetidOslo]]&lt;=C$434,C$434,IF(Tabell2[[#This Row],[ReisetidOslo]]&gt;=C$435,C$435,Tabell2[[#This Row],[ReisetidOslo]]))</f>
        <v>52.54</v>
      </c>
      <c r="M42" s="32">
        <f>IF(Tabell2[[#This Row],[Beftettotal]]&lt;=D$434,D$434,IF(Tabell2[[#This Row],[Beftettotal]]&gt;=D$435,D$435,Tabell2[[#This Row],[Beftettotal]]))</f>
        <v>34.845596645062905</v>
      </c>
      <c r="N42" s="34">
        <f>IF(Tabell2[[#This Row],[Befvekst10]]&lt;=E$434,E$434,IF(Tabell2[[#This Row],[Befvekst10]]&gt;=E$435,E$435,Tabell2[[#This Row],[Befvekst10]]))</f>
        <v>0.17167932156592047</v>
      </c>
      <c r="O42" s="34">
        <f>IF(Tabell2[[#This Row],[Kvinneandel]]&lt;=F$434,F$434,IF(Tabell2[[#This Row],[Kvinneandel]]&gt;=F$435,F$435,Tabell2[[#This Row],[Kvinneandel]]))</f>
        <v>0.12236997138528867</v>
      </c>
      <c r="P42" s="34">
        <f>IF(Tabell2[[#This Row],[Eldreandel]]&lt;=G$434,G$434,IF(Tabell2[[#This Row],[Eldreandel]]&gt;=G$435,G$435,Tabell2[[#This Row],[Eldreandel]]))</f>
        <v>0.12312339657223466</v>
      </c>
      <c r="Q42" s="34">
        <f>IF(Tabell2[[#This Row],[Sysselsettingsvekst10]]&lt;=H$434,H$434,IF(Tabell2[[#This Row],[Sysselsettingsvekst10]]&gt;=H$435,H$435,Tabell2[[#This Row],[Sysselsettingsvekst10]]))</f>
        <v>0.26635476409167841</v>
      </c>
      <c r="R42" s="34">
        <f>IF(Tabell2[[#This Row],[Yrkesaktivandel]]&lt;=I$434,I$434,IF(Tabell2[[#This Row],[Yrkesaktivandel]]&gt;=I$435,I$435,Tabell2[[#This Row],[Yrkesaktivandel]]))</f>
        <v>0.88083263481419394</v>
      </c>
      <c r="S42" s="22">
        <f>IF(Tabell2[[#This Row],[Inntekt]]&lt;=J$434,J$434,IF(Tabell2[[#This Row],[Inntekt]]&gt;=J$435,J$435,Tabell2[[#This Row],[Inntekt]]))</f>
        <v>390000</v>
      </c>
      <c r="T42" s="22">
        <f>IF(Tabell2[[#This Row],[NIBR11-T]]&lt;=K$437,100,IF(Tabell2[[#This Row],[NIBR11-T]]&gt;=K$436,0,100*(K$436-Tabell2[[#This Row],[NIBR11-T]])/K$439))</f>
        <v>100</v>
      </c>
      <c r="U42" s="7">
        <f>IF(Tabell2[[#This Row],[ReisetidOslo-T]]&lt;=L$437,100,IF(Tabell2[[#This Row],[ReisetidOslo-T]]&gt;=L$436,0,100*(L$436-Tabell2[[#This Row],[ReisetidOslo-T]])/L$439))</f>
        <v>100</v>
      </c>
      <c r="V42" s="7">
        <f>100-(M$436-Tabell2[[#This Row],[Beftettotal-T]])*100/M$439</f>
        <v>25.926862505226254</v>
      </c>
      <c r="W42" s="7">
        <f>100-(N$436-Tabell2[[#This Row],[Befvekst10-T]])*100/N$439</f>
        <v>99.803728319383922</v>
      </c>
      <c r="X42" s="7">
        <f>100-(O$436-Tabell2[[#This Row],[Kvinneandel-T]])*100/O$439</f>
        <v>84.241712695161468</v>
      </c>
      <c r="Y42" s="7">
        <f>(P$436-Tabell2[[#This Row],[Eldreandel-T]])*100/P$439</f>
        <v>100</v>
      </c>
      <c r="Z42" s="7">
        <f>100-(Q$436-Tabell2[[#This Row],[Sysselsettingsvekst10-T]])*100/Q$439</f>
        <v>100</v>
      </c>
      <c r="AA42" s="7">
        <f>100-(R$436-Tabell2[[#This Row],[Yrkesaktivandel-T]])*100/R$439</f>
        <v>37.565825970870385</v>
      </c>
      <c r="AB42" s="7">
        <f>100-(S$436-Tabell2[[#This Row],[Inntekt-T]])*100/S$439</f>
        <v>67.750174135128859</v>
      </c>
      <c r="AC42" s="55">
        <f>Tabell2[[#This Row],[NIBR11-I]]*Vekter!$B$3</f>
        <v>20</v>
      </c>
      <c r="AD42" s="55">
        <f>Tabell2[[#This Row],[ReisetidOslo-I]]*Vekter!$C$3</f>
        <v>10</v>
      </c>
      <c r="AE42" s="55">
        <f>Tabell2[[#This Row],[Beftettotal-I]]*Vekter!$D$3</f>
        <v>2.5926862505226254</v>
      </c>
      <c r="AF42" s="55">
        <f>Tabell2[[#This Row],[Befvekst10-I]]*Vekter!$E$3</f>
        <v>19.960745663876786</v>
      </c>
      <c r="AG42" s="55">
        <f>Tabell2[[#This Row],[Kvinneandel-I]]*Vekter!$F$3</f>
        <v>4.2120856347580737</v>
      </c>
      <c r="AH42" s="55">
        <f>Tabell2[[#This Row],[Eldreandel-I]]*Vekter!$G$3</f>
        <v>5</v>
      </c>
      <c r="AI42" s="55">
        <f>Tabell2[[#This Row],[Sysselsettingsvekst10-I]]*Vekter!$H$3</f>
        <v>10</v>
      </c>
      <c r="AJ42" s="55">
        <f>Tabell2[[#This Row],[Yrkesaktivandel-I]]*Vekter!$J$3</f>
        <v>3.7565825970870388</v>
      </c>
      <c r="AK42" s="55">
        <f>Tabell2[[#This Row],[Inntekt-I]]*Vekter!$L$3</f>
        <v>6.7750174135128862</v>
      </c>
      <c r="AL42" s="56">
        <f>SUM(Tabell2[[#This Row],[NIBR11-v]:[Inntekt-v]])</f>
        <v>82.29711755975741</v>
      </c>
    </row>
    <row r="43" spans="1:38" x14ac:dyDescent="0.25">
      <c r="A43" s="2" t="s">
        <v>40</v>
      </c>
      <c r="B43">
        <f>'Rådata-K'!M42</f>
        <v>1</v>
      </c>
      <c r="C43" s="7">
        <f>'Rådata-K'!L42</f>
        <v>53.133333333300001</v>
      </c>
      <c r="D43" s="34">
        <f>'Rådata-K'!N42</f>
        <v>9.6574957888826489</v>
      </c>
      <c r="E43" s="34">
        <f>'Rådata-K'!O42</f>
        <v>5.7647963105303512E-2</v>
      </c>
      <c r="F43" s="34">
        <f>'Rådata-K'!P42</f>
        <v>9.9563953488372089E-2</v>
      </c>
      <c r="G43" s="34">
        <f>'Rådata-K'!Q42</f>
        <v>0.17478197674418605</v>
      </c>
      <c r="H43" s="34">
        <f>'Rådata-K'!R42</f>
        <v>-9.8214285714285698E-2</v>
      </c>
      <c r="I43" s="34">
        <f>'Rådata-K'!S42</f>
        <v>0.86602564102564106</v>
      </c>
      <c r="J43" s="22">
        <f>'Rådata-K'!K42</f>
        <v>353200</v>
      </c>
      <c r="K43" s="22">
        <f>Tabell2[[#This Row],[NIBR11]]</f>
        <v>1</v>
      </c>
      <c r="L43" s="32">
        <f>IF(Tabell2[[#This Row],[ReisetidOslo]]&lt;=C$434,C$434,IF(Tabell2[[#This Row],[ReisetidOslo]]&gt;=C$435,C$435,Tabell2[[#This Row],[ReisetidOslo]]))</f>
        <v>53.133333333300001</v>
      </c>
      <c r="M43" s="32">
        <f>IF(Tabell2[[#This Row],[Beftettotal]]&lt;=D$434,D$434,IF(Tabell2[[#This Row],[Beftettotal]]&gt;=D$435,D$435,Tabell2[[#This Row],[Beftettotal]]))</f>
        <v>9.6574957888826489</v>
      </c>
      <c r="N43" s="34">
        <f>IF(Tabell2[[#This Row],[Befvekst10]]&lt;=E$434,E$434,IF(Tabell2[[#This Row],[Befvekst10]]&gt;=E$435,E$435,Tabell2[[#This Row],[Befvekst10]]))</f>
        <v>5.7647963105303512E-2</v>
      </c>
      <c r="O43" s="34">
        <f>IF(Tabell2[[#This Row],[Kvinneandel]]&lt;=F$434,F$434,IF(Tabell2[[#This Row],[Kvinneandel]]&gt;=F$435,F$435,Tabell2[[#This Row],[Kvinneandel]]))</f>
        <v>9.9563953488372089E-2</v>
      </c>
      <c r="P43" s="34">
        <f>IF(Tabell2[[#This Row],[Eldreandel]]&lt;=G$434,G$434,IF(Tabell2[[#This Row],[Eldreandel]]&gt;=G$435,G$435,Tabell2[[#This Row],[Eldreandel]]))</f>
        <v>0.17478197674418605</v>
      </c>
      <c r="Q43" s="34">
        <f>IF(Tabell2[[#This Row],[Sysselsettingsvekst10]]&lt;=H$434,H$434,IF(Tabell2[[#This Row],[Sysselsettingsvekst10]]&gt;=H$435,H$435,Tabell2[[#This Row],[Sysselsettingsvekst10]]))</f>
        <v>-6.9733479337269061E-2</v>
      </c>
      <c r="R43" s="34">
        <f>IF(Tabell2[[#This Row],[Yrkesaktivandel]]&lt;=I$434,I$434,IF(Tabell2[[#This Row],[Yrkesaktivandel]]&gt;=I$435,I$435,Tabell2[[#This Row],[Yrkesaktivandel]]))</f>
        <v>0.86602564102564106</v>
      </c>
      <c r="S43" s="22">
        <f>IF(Tabell2[[#This Row],[Inntekt]]&lt;=J$434,J$434,IF(Tabell2[[#This Row],[Inntekt]]&gt;=J$435,J$435,Tabell2[[#This Row],[Inntekt]]))</f>
        <v>353200</v>
      </c>
      <c r="T43" s="22">
        <f>IF(Tabell2[[#This Row],[NIBR11-T]]&lt;=K$437,100,IF(Tabell2[[#This Row],[NIBR11-T]]&gt;=K$436,0,100*(K$436-Tabell2[[#This Row],[NIBR11-T]])/K$439))</f>
        <v>100</v>
      </c>
      <c r="U43" s="7">
        <f>IF(Tabell2[[#This Row],[ReisetidOslo-T]]&lt;=L$437,100,IF(Tabell2[[#This Row],[ReisetidOslo-T]]&gt;=L$436,0,100*(L$436-Tabell2[[#This Row],[ReisetidOslo-T]])/L$439))</f>
        <v>99.73967093237296</v>
      </c>
      <c r="V43" s="7">
        <f>100-(M$436-Tabell2[[#This Row],[Beftettotal-T]])*100/M$439</f>
        <v>6.4420836880660204</v>
      </c>
      <c r="W43" s="7">
        <f>100-(N$436-Tabell2[[#This Row],[Befvekst10-T]])*100/N$439</f>
        <v>53.890535076889655</v>
      </c>
      <c r="X43" s="7">
        <f>100-(O$436-Tabell2[[#This Row],[Kvinneandel-T]])*100/O$439</f>
        <v>23.977233013921236</v>
      </c>
      <c r="Y43" s="7">
        <f>(P$436-Tabell2[[#This Row],[Eldreandel-T]])*100/P$439</f>
        <v>43.395010642837335</v>
      </c>
      <c r="Z43" s="7">
        <f>100-(Q$436-Tabell2[[#This Row],[Sysselsettingsvekst10-T]])*100/Q$439</f>
        <v>0</v>
      </c>
      <c r="AA43" s="7">
        <f>100-(R$436-Tabell2[[#This Row],[Yrkesaktivandel-T]])*100/R$439</f>
        <v>26.180850623484105</v>
      </c>
      <c r="AB43" s="7">
        <f>100-(S$436-Tabell2[[#This Row],[Inntekt-T]])*100/S$439</f>
        <v>25.029022521476662</v>
      </c>
      <c r="AC43" s="55">
        <f>Tabell2[[#This Row],[NIBR11-I]]*Vekter!$B$3</f>
        <v>20</v>
      </c>
      <c r="AD43" s="55">
        <f>Tabell2[[#This Row],[ReisetidOslo-I]]*Vekter!$C$3</f>
        <v>9.973967093237297</v>
      </c>
      <c r="AE43" s="55">
        <f>Tabell2[[#This Row],[Beftettotal-I]]*Vekter!$D$3</f>
        <v>0.64420836880660204</v>
      </c>
      <c r="AF43" s="55">
        <f>Tabell2[[#This Row],[Befvekst10-I]]*Vekter!$E$3</f>
        <v>10.778107015377932</v>
      </c>
      <c r="AG43" s="55">
        <f>Tabell2[[#This Row],[Kvinneandel-I]]*Vekter!$F$3</f>
        <v>1.1988616506960619</v>
      </c>
      <c r="AH43" s="55">
        <f>Tabell2[[#This Row],[Eldreandel-I]]*Vekter!$G$3</f>
        <v>2.1697505321418666</v>
      </c>
      <c r="AI43" s="55">
        <f>Tabell2[[#This Row],[Sysselsettingsvekst10-I]]*Vekter!$H$3</f>
        <v>0</v>
      </c>
      <c r="AJ43" s="55">
        <f>Tabell2[[#This Row],[Yrkesaktivandel-I]]*Vekter!$J$3</f>
        <v>2.6180850623484107</v>
      </c>
      <c r="AK43" s="55">
        <f>Tabell2[[#This Row],[Inntekt-I]]*Vekter!$L$3</f>
        <v>2.5029022521476665</v>
      </c>
      <c r="AL43" s="56">
        <f>SUM(Tabell2[[#This Row],[NIBR11-v]:[Inntekt-v]])</f>
        <v>49.88588197475584</v>
      </c>
    </row>
    <row r="44" spans="1:38" x14ac:dyDescent="0.25">
      <c r="A44" s="2" t="s">
        <v>41</v>
      </c>
      <c r="B44">
        <f>'Rådata-K'!M43</f>
        <v>1</v>
      </c>
      <c r="C44" s="7">
        <f>'Rådata-K'!L43</f>
        <v>1.3</v>
      </c>
      <c r="D44" s="34">
        <f>'Rådata-K'!N43</f>
        <v>1426.3163690017398</v>
      </c>
      <c r="E44" s="34">
        <f>'Rådata-K'!O43</f>
        <v>0.22238537235347633</v>
      </c>
      <c r="F44" s="34">
        <f>'Rådata-K'!P43</f>
        <v>0.18398705525602307</v>
      </c>
      <c r="G44" s="34">
        <f>'Rådata-K'!Q43</f>
        <v>0.10518222073999962</v>
      </c>
      <c r="H44" s="34">
        <f>'Rådata-K'!R43</f>
        <v>0.19230869576560838</v>
      </c>
      <c r="I44" s="34">
        <f>'Rådata-K'!S43</f>
        <v>0.81650355197312396</v>
      </c>
      <c r="J44" s="22">
        <f>'Rådata-K'!K43</f>
        <v>452500</v>
      </c>
      <c r="K44" s="22">
        <f>Tabell2[[#This Row],[NIBR11]]</f>
        <v>1</v>
      </c>
      <c r="L44" s="32">
        <f>IF(Tabell2[[#This Row],[ReisetidOslo]]&lt;=C$434,C$434,IF(Tabell2[[#This Row],[ReisetidOslo]]&gt;=C$435,C$435,Tabell2[[#This Row],[ReisetidOslo]]))</f>
        <v>52.54</v>
      </c>
      <c r="M44" s="32">
        <f>IF(Tabell2[[#This Row],[Beftettotal]]&lt;=D$434,D$434,IF(Tabell2[[#This Row],[Beftettotal]]&gt;=D$435,D$435,Tabell2[[#This Row],[Beftettotal]]))</f>
        <v>130.60042534801397</v>
      </c>
      <c r="N44" s="34">
        <f>IF(Tabell2[[#This Row],[Befvekst10]]&lt;=E$434,E$434,IF(Tabell2[[#This Row],[Befvekst10]]&gt;=E$435,E$435,Tabell2[[#This Row],[Befvekst10]]))</f>
        <v>0.17216678769030419</v>
      </c>
      <c r="O44" s="34">
        <f>IF(Tabell2[[#This Row],[Kvinneandel]]&lt;=F$434,F$434,IF(Tabell2[[#This Row],[Kvinneandel]]&gt;=F$435,F$435,Tabell2[[#This Row],[Kvinneandel]]))</f>
        <v>0.12833341426573511</v>
      </c>
      <c r="P44" s="34">
        <f>IF(Tabell2[[#This Row],[Eldreandel]]&lt;=G$434,G$434,IF(Tabell2[[#This Row],[Eldreandel]]&gt;=G$435,G$435,Tabell2[[#This Row],[Eldreandel]]))</f>
        <v>0.12312339657223466</v>
      </c>
      <c r="Q44" s="34">
        <f>IF(Tabell2[[#This Row],[Sysselsettingsvekst10]]&lt;=H$434,H$434,IF(Tabell2[[#This Row],[Sysselsettingsvekst10]]&gt;=H$435,H$435,Tabell2[[#This Row],[Sysselsettingsvekst10]]))</f>
        <v>0.19230869576560838</v>
      </c>
      <c r="R44" s="34">
        <f>IF(Tabell2[[#This Row],[Yrkesaktivandel]]&lt;=I$434,I$434,IF(Tabell2[[#This Row],[Yrkesaktivandel]]&gt;=I$435,I$435,Tabell2[[#This Row],[Yrkesaktivandel]]))</f>
        <v>0.83197552842263423</v>
      </c>
      <c r="S44" s="22">
        <f>IF(Tabell2[[#This Row],[Inntekt]]&lt;=J$434,J$434,IF(Tabell2[[#This Row],[Inntekt]]&gt;=J$435,J$435,Tabell2[[#This Row],[Inntekt]]))</f>
        <v>417780</v>
      </c>
      <c r="T44" s="22">
        <f>IF(Tabell2[[#This Row],[NIBR11-T]]&lt;=K$437,100,IF(Tabell2[[#This Row],[NIBR11-T]]&gt;=K$436,0,100*(K$436-Tabell2[[#This Row],[NIBR11-T]])/K$439))</f>
        <v>100</v>
      </c>
      <c r="U44" s="7">
        <f>IF(Tabell2[[#This Row],[ReisetidOslo-T]]&lt;=L$437,100,IF(Tabell2[[#This Row],[ReisetidOslo-T]]&gt;=L$436,0,100*(L$436-Tabell2[[#This Row],[ReisetidOslo-T]])/L$439))</f>
        <v>100</v>
      </c>
      <c r="V44" s="7">
        <f>100-(M$436-Tabell2[[#This Row],[Beftettotal-T]])*100/M$439</f>
        <v>100</v>
      </c>
      <c r="W44" s="7">
        <f>100-(N$436-Tabell2[[#This Row],[Befvekst10-T]])*100/N$439</f>
        <v>100</v>
      </c>
      <c r="X44" s="7">
        <f>100-(O$436-Tabell2[[#This Row],[Kvinneandel-T]])*100/O$439</f>
        <v>100</v>
      </c>
      <c r="Y44" s="7">
        <f>(P$436-Tabell2[[#This Row],[Eldreandel-T]])*100/P$439</f>
        <v>100</v>
      </c>
      <c r="Z44" s="7">
        <f>100-(Q$436-Tabell2[[#This Row],[Sysselsettingsvekst10-T]])*100/Q$439</f>
        <v>77.968265842740152</v>
      </c>
      <c r="AA44" s="7">
        <f>100-(R$436-Tabell2[[#This Row],[Yrkesaktivandel-T]])*100/R$439</f>
        <v>0</v>
      </c>
      <c r="AB44" s="7">
        <f>100-(S$436-Tabell2[[#This Row],[Inntekt-T]])*100/S$439</f>
        <v>100</v>
      </c>
      <c r="AC44" s="55">
        <f>Tabell2[[#This Row],[NIBR11-I]]*Vekter!$B$3</f>
        <v>20</v>
      </c>
      <c r="AD44" s="55">
        <f>Tabell2[[#This Row],[ReisetidOslo-I]]*Vekter!$C$3</f>
        <v>10</v>
      </c>
      <c r="AE44" s="55">
        <f>Tabell2[[#This Row],[Beftettotal-I]]*Vekter!$D$3</f>
        <v>10</v>
      </c>
      <c r="AF44" s="55">
        <f>Tabell2[[#This Row],[Befvekst10-I]]*Vekter!$E$3</f>
        <v>20</v>
      </c>
      <c r="AG44" s="55">
        <f>Tabell2[[#This Row],[Kvinneandel-I]]*Vekter!$F$3</f>
        <v>5</v>
      </c>
      <c r="AH44" s="55">
        <f>Tabell2[[#This Row],[Eldreandel-I]]*Vekter!$G$3</f>
        <v>5</v>
      </c>
      <c r="AI44" s="55">
        <f>Tabell2[[#This Row],[Sysselsettingsvekst10-I]]*Vekter!$H$3</f>
        <v>7.7968265842740152</v>
      </c>
      <c r="AJ44" s="55">
        <f>Tabell2[[#This Row],[Yrkesaktivandel-I]]*Vekter!$J$3</f>
        <v>0</v>
      </c>
      <c r="AK44" s="55">
        <f>Tabell2[[#This Row],[Inntekt-I]]*Vekter!$L$3</f>
        <v>10</v>
      </c>
      <c r="AL44" s="56">
        <f>SUM(Tabell2[[#This Row],[NIBR11-v]:[Inntekt-v]])</f>
        <v>87.796826584274015</v>
      </c>
    </row>
    <row r="45" spans="1:38" x14ac:dyDescent="0.25">
      <c r="A45" s="2" t="s">
        <v>42</v>
      </c>
      <c r="B45">
        <f>'Rådata-K'!M44</f>
        <v>5</v>
      </c>
      <c r="C45" s="7">
        <f>'Rådata-K'!L44</f>
        <v>69.666666666699996</v>
      </c>
      <c r="D45" s="34">
        <f>'Rådata-K'!N44</f>
        <v>17.252158811327124</v>
      </c>
      <c r="E45" s="34">
        <f>'Rådata-K'!O44</f>
        <v>3.4839979165460999E-2</v>
      </c>
      <c r="F45" s="34">
        <f>'Rådata-K'!P44</f>
        <v>0.10150439013477994</v>
      </c>
      <c r="G45" s="34">
        <f>'Rådata-K'!Q44</f>
        <v>0.18198087355293327</v>
      </c>
      <c r="H45" s="34">
        <f>'Rådata-K'!R44</f>
        <v>-1.098901098901095E-2</v>
      </c>
      <c r="I45" s="34">
        <f>'Rådata-K'!S44</f>
        <v>0.7765467202666928</v>
      </c>
      <c r="J45" s="22">
        <f>'Rådata-K'!K44</f>
        <v>348000</v>
      </c>
      <c r="K45" s="22">
        <f>Tabell2[[#This Row],[NIBR11]]</f>
        <v>5</v>
      </c>
      <c r="L45" s="32">
        <f>IF(Tabell2[[#This Row],[ReisetidOslo]]&lt;=C$434,C$434,IF(Tabell2[[#This Row],[ReisetidOslo]]&gt;=C$435,C$435,Tabell2[[#This Row],[ReisetidOslo]]))</f>
        <v>69.666666666699996</v>
      </c>
      <c r="M45" s="32">
        <f>IF(Tabell2[[#This Row],[Beftettotal]]&lt;=D$434,D$434,IF(Tabell2[[#This Row],[Beftettotal]]&gt;=D$435,D$435,Tabell2[[#This Row],[Beftettotal]]))</f>
        <v>17.252158811327124</v>
      </c>
      <c r="N45" s="34">
        <f>IF(Tabell2[[#This Row],[Befvekst10]]&lt;=E$434,E$434,IF(Tabell2[[#This Row],[Befvekst10]]&gt;=E$435,E$435,Tabell2[[#This Row],[Befvekst10]]))</f>
        <v>3.4839979165460999E-2</v>
      </c>
      <c r="O45" s="34">
        <f>IF(Tabell2[[#This Row],[Kvinneandel]]&lt;=F$434,F$434,IF(Tabell2[[#This Row],[Kvinneandel]]&gt;=F$435,F$435,Tabell2[[#This Row],[Kvinneandel]]))</f>
        <v>0.10150439013477994</v>
      </c>
      <c r="P45" s="34">
        <f>IF(Tabell2[[#This Row],[Eldreandel]]&lt;=G$434,G$434,IF(Tabell2[[#This Row],[Eldreandel]]&gt;=G$435,G$435,Tabell2[[#This Row],[Eldreandel]]))</f>
        <v>0.18198087355293327</v>
      </c>
      <c r="Q45" s="34">
        <f>IF(Tabell2[[#This Row],[Sysselsettingsvekst10]]&lt;=H$434,H$434,IF(Tabell2[[#This Row],[Sysselsettingsvekst10]]&gt;=H$435,H$435,Tabell2[[#This Row],[Sysselsettingsvekst10]]))</f>
        <v>-1.098901098901095E-2</v>
      </c>
      <c r="R45" s="34">
        <f>IF(Tabell2[[#This Row],[Yrkesaktivandel]]&lt;=I$434,I$434,IF(Tabell2[[#This Row],[Yrkesaktivandel]]&gt;=I$435,I$435,Tabell2[[#This Row],[Yrkesaktivandel]]))</f>
        <v>0.83197552842263423</v>
      </c>
      <c r="S45" s="22">
        <f>IF(Tabell2[[#This Row],[Inntekt]]&lt;=J$434,J$434,IF(Tabell2[[#This Row],[Inntekt]]&gt;=J$435,J$435,Tabell2[[#This Row],[Inntekt]]))</f>
        <v>348000</v>
      </c>
      <c r="T45" s="22">
        <f>IF(Tabell2[[#This Row],[NIBR11-T]]&lt;=K$437,100,IF(Tabell2[[#This Row],[NIBR11-T]]&gt;=K$436,0,100*(K$436-Tabell2[[#This Row],[NIBR11-T]])/K$439))</f>
        <v>60</v>
      </c>
      <c r="U45" s="7">
        <f>IF(Tabell2[[#This Row],[ReisetidOslo-T]]&lt;=L$437,100,IF(Tabell2[[#This Row],[ReisetidOslo-T]]&gt;=L$436,0,100*(L$436-Tabell2[[#This Row],[ReisetidOslo-T]])/L$439))</f>
        <v>92.485557586823447</v>
      </c>
      <c r="V45" s="7">
        <f>100-(M$436-Tabell2[[#This Row],[Beftettotal-T]])*100/M$439</f>
        <v>12.317093083499955</v>
      </c>
      <c r="W45" s="7">
        <f>100-(N$436-Tabell2[[#This Row],[Befvekst10-T]])*100/N$439</f>
        <v>44.707207014869212</v>
      </c>
      <c r="X45" s="7">
        <f>100-(O$436-Tabell2[[#This Row],[Kvinneandel-T]])*100/O$439</f>
        <v>29.104800894414296</v>
      </c>
      <c r="Y45" s="7">
        <f>(P$436-Tabell2[[#This Row],[Eldreandel-T]])*100/P$439</f>
        <v>35.506805510484476</v>
      </c>
      <c r="Z45" s="7">
        <f>100-(Q$436-Tabell2[[#This Row],[Sysselsettingsvekst10-T]])*100/Q$439</f>
        <v>17.478882256908619</v>
      </c>
      <c r="AA45" s="7">
        <f>100-(R$436-Tabell2[[#This Row],[Yrkesaktivandel-T]])*100/R$439</f>
        <v>0</v>
      </c>
      <c r="AB45" s="7">
        <f>100-(S$436-Tabell2[[#This Row],[Inntekt-T]])*100/S$439</f>
        <v>18.992338054330162</v>
      </c>
      <c r="AC45" s="55">
        <f>Tabell2[[#This Row],[NIBR11-I]]*Vekter!$B$3</f>
        <v>12</v>
      </c>
      <c r="AD45" s="55">
        <f>Tabell2[[#This Row],[ReisetidOslo-I]]*Vekter!$C$3</f>
        <v>9.248555758682345</v>
      </c>
      <c r="AE45" s="55">
        <f>Tabell2[[#This Row],[Beftettotal-I]]*Vekter!$D$3</f>
        <v>1.2317093083499957</v>
      </c>
      <c r="AF45" s="55">
        <f>Tabell2[[#This Row],[Befvekst10-I]]*Vekter!$E$3</f>
        <v>8.941441402973842</v>
      </c>
      <c r="AG45" s="55">
        <f>Tabell2[[#This Row],[Kvinneandel-I]]*Vekter!$F$3</f>
        <v>1.455240044720715</v>
      </c>
      <c r="AH45" s="55">
        <f>Tabell2[[#This Row],[Eldreandel-I]]*Vekter!$G$3</f>
        <v>1.7753402755242238</v>
      </c>
      <c r="AI45" s="55">
        <f>Tabell2[[#This Row],[Sysselsettingsvekst10-I]]*Vekter!$H$3</f>
        <v>1.7478882256908621</v>
      </c>
      <c r="AJ45" s="55">
        <f>Tabell2[[#This Row],[Yrkesaktivandel-I]]*Vekter!$J$3</f>
        <v>0</v>
      </c>
      <c r="AK45" s="55">
        <f>Tabell2[[#This Row],[Inntekt-I]]*Vekter!$L$3</f>
        <v>1.8992338054330162</v>
      </c>
      <c r="AL45" s="56">
        <f>SUM(Tabell2[[#This Row],[NIBR11-v]:[Inntekt-v]])</f>
        <v>38.299408821374996</v>
      </c>
    </row>
    <row r="46" spans="1:38" x14ac:dyDescent="0.25">
      <c r="A46" s="2" t="s">
        <v>43</v>
      </c>
      <c r="B46">
        <f>'Rådata-K'!M45</f>
        <v>4</v>
      </c>
      <c r="C46" s="7">
        <f>'Rådata-K'!L45</f>
        <v>83.916666666699996</v>
      </c>
      <c r="D46" s="34">
        <f>'Rådata-K'!N45</f>
        <v>85.048726277996238</v>
      </c>
      <c r="E46" s="34">
        <f>'Rådata-K'!O45</f>
        <v>8.7758300229600295E-2</v>
      </c>
      <c r="F46" s="34">
        <f>'Rådata-K'!P45</f>
        <v>0.11672864944550541</v>
      </c>
      <c r="G46" s="34">
        <f>'Rådata-K'!Q45</f>
        <v>0.17995108386102457</v>
      </c>
      <c r="H46" s="34">
        <f>'Rådata-K'!R45</f>
        <v>0.15251471530974992</v>
      </c>
      <c r="I46" s="34">
        <f>'Rådata-K'!S45</f>
        <v>0.85454969941049441</v>
      </c>
      <c r="J46" s="22">
        <f>'Rådata-K'!K45</f>
        <v>386800</v>
      </c>
      <c r="K46" s="22">
        <f>Tabell2[[#This Row],[NIBR11]]</f>
        <v>4</v>
      </c>
      <c r="L46" s="32">
        <f>IF(Tabell2[[#This Row],[ReisetidOslo]]&lt;=C$434,C$434,IF(Tabell2[[#This Row],[ReisetidOslo]]&gt;=C$435,C$435,Tabell2[[#This Row],[ReisetidOslo]]))</f>
        <v>83.916666666699996</v>
      </c>
      <c r="M46" s="32">
        <f>IF(Tabell2[[#This Row],[Beftettotal]]&lt;=D$434,D$434,IF(Tabell2[[#This Row],[Beftettotal]]&gt;=D$435,D$435,Tabell2[[#This Row],[Beftettotal]]))</f>
        <v>85.048726277996238</v>
      </c>
      <c r="N46" s="34">
        <f>IF(Tabell2[[#This Row],[Befvekst10]]&lt;=E$434,E$434,IF(Tabell2[[#This Row],[Befvekst10]]&gt;=E$435,E$435,Tabell2[[#This Row],[Befvekst10]]))</f>
        <v>8.7758300229600295E-2</v>
      </c>
      <c r="O46" s="34">
        <f>IF(Tabell2[[#This Row],[Kvinneandel]]&lt;=F$434,F$434,IF(Tabell2[[#This Row],[Kvinneandel]]&gt;=F$435,F$435,Tabell2[[#This Row],[Kvinneandel]]))</f>
        <v>0.11672864944550541</v>
      </c>
      <c r="P46" s="34">
        <f>IF(Tabell2[[#This Row],[Eldreandel]]&lt;=G$434,G$434,IF(Tabell2[[#This Row],[Eldreandel]]&gt;=G$435,G$435,Tabell2[[#This Row],[Eldreandel]]))</f>
        <v>0.17995108386102457</v>
      </c>
      <c r="Q46" s="34">
        <f>IF(Tabell2[[#This Row],[Sysselsettingsvekst10]]&lt;=H$434,H$434,IF(Tabell2[[#This Row],[Sysselsettingsvekst10]]&gt;=H$435,H$435,Tabell2[[#This Row],[Sysselsettingsvekst10]]))</f>
        <v>0.15251471530974992</v>
      </c>
      <c r="R46" s="34">
        <f>IF(Tabell2[[#This Row],[Yrkesaktivandel]]&lt;=I$434,I$434,IF(Tabell2[[#This Row],[Yrkesaktivandel]]&gt;=I$435,I$435,Tabell2[[#This Row],[Yrkesaktivandel]]))</f>
        <v>0.85454969941049441</v>
      </c>
      <c r="S46" s="22">
        <f>IF(Tabell2[[#This Row],[Inntekt]]&lt;=J$434,J$434,IF(Tabell2[[#This Row],[Inntekt]]&gt;=J$435,J$435,Tabell2[[#This Row],[Inntekt]]))</f>
        <v>386800</v>
      </c>
      <c r="T46" s="22">
        <f>IF(Tabell2[[#This Row],[NIBR11-T]]&lt;=K$437,100,IF(Tabell2[[#This Row],[NIBR11-T]]&gt;=K$436,0,100*(K$436-Tabell2[[#This Row],[NIBR11-T]])/K$439))</f>
        <v>70</v>
      </c>
      <c r="U46" s="7">
        <f>IF(Tabell2[[#This Row],[ReisetidOslo-T]]&lt;=L$437,100,IF(Tabell2[[#This Row],[ReisetidOslo-T]]&gt;=L$436,0,100*(L$436-Tabell2[[#This Row],[ReisetidOslo-T]])/L$439))</f>
        <v>86.233272394867967</v>
      </c>
      <c r="V46" s="7">
        <f>100-(M$436-Tabell2[[#This Row],[Beftettotal-T]])*100/M$439</f>
        <v>64.762536636129013</v>
      </c>
      <c r="W46" s="7">
        <f>100-(N$436-Tabell2[[#This Row],[Befvekst10-T]])*100/N$439</f>
        <v>66.01405746272485</v>
      </c>
      <c r="X46" s="7">
        <f>100-(O$436-Tabell2[[#This Row],[Kvinneandel-T]])*100/O$439</f>
        <v>69.334624006900469</v>
      </c>
      <c r="Y46" s="7">
        <f>(P$436-Tabell2[[#This Row],[Eldreandel-T]])*100/P$439</f>
        <v>37.73095149988886</v>
      </c>
      <c r="Z46" s="7">
        <f>100-(Q$436-Tabell2[[#This Row],[Sysselsettingsvekst10-T]])*100/Q$439</f>
        <v>66.127928897341675</v>
      </c>
      <c r="AA46" s="7">
        <f>100-(R$436-Tabell2[[#This Row],[Yrkesaktivandel-T]])*100/R$439</f>
        <v>17.357093806790118</v>
      </c>
      <c r="AB46" s="7">
        <f>100-(S$436-Tabell2[[#This Row],[Inntekt-T]])*100/S$439</f>
        <v>64.035291386115631</v>
      </c>
      <c r="AC46" s="55">
        <f>Tabell2[[#This Row],[NIBR11-I]]*Vekter!$B$3</f>
        <v>14</v>
      </c>
      <c r="AD46" s="55">
        <f>Tabell2[[#This Row],[ReisetidOslo-I]]*Vekter!$C$3</f>
        <v>8.6233272394867964</v>
      </c>
      <c r="AE46" s="55">
        <f>Tabell2[[#This Row],[Beftettotal-I]]*Vekter!$D$3</f>
        <v>6.4762536636129013</v>
      </c>
      <c r="AF46" s="55">
        <f>Tabell2[[#This Row],[Befvekst10-I]]*Vekter!$E$3</f>
        <v>13.202811492544971</v>
      </c>
      <c r="AG46" s="55">
        <f>Tabell2[[#This Row],[Kvinneandel-I]]*Vekter!$F$3</f>
        <v>3.4667312003450235</v>
      </c>
      <c r="AH46" s="55">
        <f>Tabell2[[#This Row],[Eldreandel-I]]*Vekter!$G$3</f>
        <v>1.8865475749944431</v>
      </c>
      <c r="AI46" s="55">
        <f>Tabell2[[#This Row],[Sysselsettingsvekst10-I]]*Vekter!$H$3</f>
        <v>6.6127928897341679</v>
      </c>
      <c r="AJ46" s="55">
        <f>Tabell2[[#This Row],[Yrkesaktivandel-I]]*Vekter!$J$3</f>
        <v>1.7357093806790118</v>
      </c>
      <c r="AK46" s="55">
        <f>Tabell2[[#This Row],[Inntekt-I]]*Vekter!$L$3</f>
        <v>6.4035291386115638</v>
      </c>
      <c r="AL46" s="56">
        <f>SUM(Tabell2[[#This Row],[NIBR11-v]:[Inntekt-v]])</f>
        <v>62.407702580008888</v>
      </c>
    </row>
    <row r="47" spans="1:38" x14ac:dyDescent="0.25">
      <c r="A47" s="2" t="s">
        <v>44</v>
      </c>
      <c r="B47">
        <f>'Rådata-K'!M46</f>
        <v>4</v>
      </c>
      <c r="C47" s="7">
        <f>'Rådata-K'!L46</f>
        <v>91.916666666699996</v>
      </c>
      <c r="D47" s="34">
        <f>'Rådata-K'!N46</f>
        <v>26.250703081057434</v>
      </c>
      <c r="E47" s="34">
        <f>'Rådata-K'!O46</f>
        <v>5.5901206636500778E-2</v>
      </c>
      <c r="F47" s="34">
        <f>'Rådata-K'!P46</f>
        <v>0.11177573430943666</v>
      </c>
      <c r="G47" s="34">
        <f>'Rådata-K'!Q46</f>
        <v>0.16186054816534237</v>
      </c>
      <c r="H47" s="34">
        <f>'Rådata-K'!R46</f>
        <v>0.11524701225546163</v>
      </c>
      <c r="I47" s="34">
        <f>'Rådata-K'!S46</f>
        <v>0.87258047821136531</v>
      </c>
      <c r="J47" s="22">
        <f>'Rådata-K'!K46</f>
        <v>354800</v>
      </c>
      <c r="K47" s="22">
        <f>Tabell2[[#This Row],[NIBR11]]</f>
        <v>4</v>
      </c>
      <c r="L47" s="32">
        <f>IF(Tabell2[[#This Row],[ReisetidOslo]]&lt;=C$434,C$434,IF(Tabell2[[#This Row],[ReisetidOslo]]&gt;=C$435,C$435,Tabell2[[#This Row],[ReisetidOslo]]))</f>
        <v>91.916666666699996</v>
      </c>
      <c r="M47" s="32">
        <f>IF(Tabell2[[#This Row],[Beftettotal]]&lt;=D$434,D$434,IF(Tabell2[[#This Row],[Beftettotal]]&gt;=D$435,D$435,Tabell2[[#This Row],[Beftettotal]]))</f>
        <v>26.250703081057434</v>
      </c>
      <c r="N47" s="34">
        <f>IF(Tabell2[[#This Row],[Befvekst10]]&lt;=E$434,E$434,IF(Tabell2[[#This Row],[Befvekst10]]&gt;=E$435,E$435,Tabell2[[#This Row],[Befvekst10]]))</f>
        <v>5.5901206636500778E-2</v>
      </c>
      <c r="O47" s="34">
        <f>IF(Tabell2[[#This Row],[Kvinneandel]]&lt;=F$434,F$434,IF(Tabell2[[#This Row],[Kvinneandel]]&gt;=F$435,F$435,Tabell2[[#This Row],[Kvinneandel]]))</f>
        <v>0.11177573430943666</v>
      </c>
      <c r="P47" s="34">
        <f>IF(Tabell2[[#This Row],[Eldreandel]]&lt;=G$434,G$434,IF(Tabell2[[#This Row],[Eldreandel]]&gt;=G$435,G$435,Tabell2[[#This Row],[Eldreandel]]))</f>
        <v>0.16186054816534237</v>
      </c>
      <c r="Q47" s="34">
        <f>IF(Tabell2[[#This Row],[Sysselsettingsvekst10]]&lt;=H$434,H$434,IF(Tabell2[[#This Row],[Sysselsettingsvekst10]]&gt;=H$435,H$435,Tabell2[[#This Row],[Sysselsettingsvekst10]]))</f>
        <v>0.11524701225546163</v>
      </c>
      <c r="R47" s="34">
        <f>IF(Tabell2[[#This Row],[Yrkesaktivandel]]&lt;=I$434,I$434,IF(Tabell2[[#This Row],[Yrkesaktivandel]]&gt;=I$435,I$435,Tabell2[[#This Row],[Yrkesaktivandel]]))</f>
        <v>0.87258047821136531</v>
      </c>
      <c r="S47" s="22">
        <f>IF(Tabell2[[#This Row],[Inntekt]]&lt;=J$434,J$434,IF(Tabell2[[#This Row],[Inntekt]]&gt;=J$435,J$435,Tabell2[[#This Row],[Inntekt]]))</f>
        <v>354800</v>
      </c>
      <c r="T47" s="22">
        <f>IF(Tabell2[[#This Row],[NIBR11-T]]&lt;=K$437,100,IF(Tabell2[[#This Row],[NIBR11-T]]&gt;=K$436,0,100*(K$436-Tabell2[[#This Row],[NIBR11-T]])/K$439))</f>
        <v>70</v>
      </c>
      <c r="U47" s="7">
        <f>IF(Tabell2[[#This Row],[ReisetidOslo-T]]&lt;=L$437,100,IF(Tabell2[[#This Row],[ReisetidOslo-T]]&gt;=L$436,0,100*(L$436-Tabell2[[#This Row],[ReisetidOslo-T]])/L$439))</f>
        <v>82.723217550261367</v>
      </c>
      <c r="V47" s="7">
        <f>100-(M$436-Tabell2[[#This Row],[Beftettotal-T]])*100/M$439</f>
        <v>19.278103989929562</v>
      </c>
      <c r="W47" s="7">
        <f>100-(N$436-Tabell2[[#This Row],[Befvekst10-T]])*100/N$439</f>
        <v>53.18722707124649</v>
      </c>
      <c r="X47" s="7">
        <f>100-(O$436-Tabell2[[#This Row],[Kvinneandel-T]])*100/O$439</f>
        <v>56.246637540798545</v>
      </c>
      <c r="Y47" s="7">
        <f>(P$436-Tabell2[[#This Row],[Eldreandel-T]])*100/P$439</f>
        <v>57.553691054691072</v>
      </c>
      <c r="Z47" s="7">
        <f>100-(Q$436-Tabell2[[#This Row],[Sysselsettingsvekst10-T]])*100/Q$439</f>
        <v>55.039262815462777</v>
      </c>
      <c r="AA47" s="7">
        <f>100-(R$436-Tabell2[[#This Row],[Yrkesaktivandel-T]])*100/R$439</f>
        <v>31.220810849799221</v>
      </c>
      <c r="AB47" s="7">
        <f>100-(S$436-Tabell2[[#This Row],[Inntekt-T]])*100/S$439</f>
        <v>26.886463895983283</v>
      </c>
      <c r="AC47" s="55">
        <f>Tabell2[[#This Row],[NIBR11-I]]*Vekter!$B$3</f>
        <v>14</v>
      </c>
      <c r="AD47" s="55">
        <f>Tabell2[[#This Row],[ReisetidOslo-I]]*Vekter!$C$3</f>
        <v>8.2723217550261374</v>
      </c>
      <c r="AE47" s="55">
        <f>Tabell2[[#This Row],[Beftettotal-I]]*Vekter!$D$3</f>
        <v>1.9278103989929563</v>
      </c>
      <c r="AF47" s="55">
        <f>Tabell2[[#This Row],[Befvekst10-I]]*Vekter!$E$3</f>
        <v>10.637445414249299</v>
      </c>
      <c r="AG47" s="55">
        <f>Tabell2[[#This Row],[Kvinneandel-I]]*Vekter!$F$3</f>
        <v>2.8123318770399273</v>
      </c>
      <c r="AH47" s="55">
        <f>Tabell2[[#This Row],[Eldreandel-I]]*Vekter!$G$3</f>
        <v>2.8776845527345536</v>
      </c>
      <c r="AI47" s="55">
        <f>Tabell2[[#This Row],[Sysselsettingsvekst10-I]]*Vekter!$H$3</f>
        <v>5.5039262815462777</v>
      </c>
      <c r="AJ47" s="55">
        <f>Tabell2[[#This Row],[Yrkesaktivandel-I]]*Vekter!$J$3</f>
        <v>3.1220810849799223</v>
      </c>
      <c r="AK47" s="55">
        <f>Tabell2[[#This Row],[Inntekt-I]]*Vekter!$L$3</f>
        <v>2.6886463895983286</v>
      </c>
      <c r="AL47" s="56">
        <f>SUM(Tabell2[[#This Row],[NIBR11-v]:[Inntekt-v]])</f>
        <v>51.842247754167403</v>
      </c>
    </row>
    <row r="48" spans="1:38" x14ac:dyDescent="0.25">
      <c r="A48" s="2" t="s">
        <v>45</v>
      </c>
      <c r="B48">
        <f>'Rådata-K'!M47</f>
        <v>4</v>
      </c>
      <c r="C48" s="7">
        <f>'Rådata-K'!L47</f>
        <v>86.266666666700004</v>
      </c>
      <c r="D48" s="34">
        <f>'Rådata-K'!N47</f>
        <v>20.441749675184063</v>
      </c>
      <c r="E48" s="34">
        <f>'Rådata-K'!O47</f>
        <v>3.8646678586164107E-2</v>
      </c>
      <c r="F48" s="34">
        <f>'Rådata-K'!P47</f>
        <v>0.11533368644067797</v>
      </c>
      <c r="G48" s="34">
        <f>'Rådata-K'!Q47</f>
        <v>0.16591631355932204</v>
      </c>
      <c r="H48" s="34">
        <f>'Rådata-K'!R47</f>
        <v>6.9674471730439835E-2</v>
      </c>
      <c r="I48" s="34">
        <f>'Rådata-K'!S47</f>
        <v>0.8429414434861553</v>
      </c>
      <c r="J48" s="22">
        <f>'Rådata-K'!K47</f>
        <v>347600</v>
      </c>
      <c r="K48" s="22">
        <f>Tabell2[[#This Row],[NIBR11]]</f>
        <v>4</v>
      </c>
      <c r="L48" s="32">
        <f>IF(Tabell2[[#This Row],[ReisetidOslo]]&lt;=C$434,C$434,IF(Tabell2[[#This Row],[ReisetidOslo]]&gt;=C$435,C$435,Tabell2[[#This Row],[ReisetidOslo]]))</f>
        <v>86.266666666700004</v>
      </c>
      <c r="M48" s="32">
        <f>IF(Tabell2[[#This Row],[Beftettotal]]&lt;=D$434,D$434,IF(Tabell2[[#This Row],[Beftettotal]]&gt;=D$435,D$435,Tabell2[[#This Row],[Beftettotal]]))</f>
        <v>20.441749675184063</v>
      </c>
      <c r="N48" s="34">
        <f>IF(Tabell2[[#This Row],[Befvekst10]]&lt;=E$434,E$434,IF(Tabell2[[#This Row],[Befvekst10]]&gt;=E$435,E$435,Tabell2[[#This Row],[Befvekst10]]))</f>
        <v>3.8646678586164107E-2</v>
      </c>
      <c r="O48" s="34">
        <f>IF(Tabell2[[#This Row],[Kvinneandel]]&lt;=F$434,F$434,IF(Tabell2[[#This Row],[Kvinneandel]]&gt;=F$435,F$435,Tabell2[[#This Row],[Kvinneandel]]))</f>
        <v>0.11533368644067797</v>
      </c>
      <c r="P48" s="34">
        <f>IF(Tabell2[[#This Row],[Eldreandel]]&lt;=G$434,G$434,IF(Tabell2[[#This Row],[Eldreandel]]&gt;=G$435,G$435,Tabell2[[#This Row],[Eldreandel]]))</f>
        <v>0.16591631355932204</v>
      </c>
      <c r="Q48" s="34">
        <f>IF(Tabell2[[#This Row],[Sysselsettingsvekst10]]&lt;=H$434,H$434,IF(Tabell2[[#This Row],[Sysselsettingsvekst10]]&gt;=H$435,H$435,Tabell2[[#This Row],[Sysselsettingsvekst10]]))</f>
        <v>6.9674471730439835E-2</v>
      </c>
      <c r="R48" s="34">
        <f>IF(Tabell2[[#This Row],[Yrkesaktivandel]]&lt;=I$434,I$434,IF(Tabell2[[#This Row],[Yrkesaktivandel]]&gt;=I$435,I$435,Tabell2[[#This Row],[Yrkesaktivandel]]))</f>
        <v>0.8429414434861553</v>
      </c>
      <c r="S48" s="22">
        <f>IF(Tabell2[[#This Row],[Inntekt]]&lt;=J$434,J$434,IF(Tabell2[[#This Row],[Inntekt]]&gt;=J$435,J$435,Tabell2[[#This Row],[Inntekt]]))</f>
        <v>347600</v>
      </c>
      <c r="T48" s="22">
        <f>IF(Tabell2[[#This Row],[NIBR11-T]]&lt;=K$437,100,IF(Tabell2[[#This Row],[NIBR11-T]]&gt;=K$436,0,100*(K$436-Tabell2[[#This Row],[NIBR11-T]])/K$439))</f>
        <v>70</v>
      </c>
      <c r="U48" s="7">
        <f>IF(Tabell2[[#This Row],[ReisetidOslo-T]]&lt;=L$437,100,IF(Tabell2[[#This Row],[ReisetidOslo-T]]&gt;=L$436,0,100*(L$436-Tabell2[[#This Row],[ReisetidOslo-T]])/L$439))</f>
        <v>85.202193784264765</v>
      </c>
      <c r="V48" s="7">
        <f>100-(M$436-Tabell2[[#This Row],[Beftettotal-T]])*100/M$439</f>
        <v>14.784467374810944</v>
      </c>
      <c r="W48" s="7">
        <f>100-(N$436-Tabell2[[#This Row],[Befvekst10-T]])*100/N$439</f>
        <v>46.239923352535193</v>
      </c>
      <c r="X48" s="7">
        <f>100-(O$436-Tabell2[[#This Row],[Kvinneandel-T]])*100/O$439</f>
        <v>65.648460116277931</v>
      </c>
      <c r="Y48" s="7">
        <f>(P$436-Tabell2[[#This Row],[Eldreandel-T]])*100/P$439</f>
        <v>53.109578262639943</v>
      </c>
      <c r="Z48" s="7">
        <f>100-(Q$436-Tabell2[[#This Row],[Sysselsettingsvekst10-T]])*100/Q$439</f>
        <v>41.479567879374869</v>
      </c>
      <c r="AA48" s="7">
        <f>100-(R$436-Tabell2[[#This Row],[Yrkesaktivandel-T]])*100/R$439</f>
        <v>8.4316016095202855</v>
      </c>
      <c r="AB48" s="7">
        <f>100-(S$436-Tabell2[[#This Row],[Inntekt-T]])*100/S$439</f>
        <v>18.52797771070351</v>
      </c>
      <c r="AC48" s="55">
        <f>Tabell2[[#This Row],[NIBR11-I]]*Vekter!$B$3</f>
        <v>14</v>
      </c>
      <c r="AD48" s="55">
        <f>Tabell2[[#This Row],[ReisetidOslo-I]]*Vekter!$C$3</f>
        <v>8.5202193784264768</v>
      </c>
      <c r="AE48" s="55">
        <f>Tabell2[[#This Row],[Beftettotal-I]]*Vekter!$D$3</f>
        <v>1.4784467374810946</v>
      </c>
      <c r="AF48" s="55">
        <f>Tabell2[[#This Row],[Befvekst10-I]]*Vekter!$E$3</f>
        <v>9.247984670507039</v>
      </c>
      <c r="AG48" s="55">
        <f>Tabell2[[#This Row],[Kvinneandel-I]]*Vekter!$F$3</f>
        <v>3.2824230058138966</v>
      </c>
      <c r="AH48" s="55">
        <f>Tabell2[[#This Row],[Eldreandel-I]]*Vekter!$G$3</f>
        <v>2.6554789131319971</v>
      </c>
      <c r="AI48" s="55">
        <f>Tabell2[[#This Row],[Sysselsettingsvekst10-I]]*Vekter!$H$3</f>
        <v>4.1479567879374875</v>
      </c>
      <c r="AJ48" s="55">
        <f>Tabell2[[#This Row],[Yrkesaktivandel-I]]*Vekter!$J$3</f>
        <v>0.84316016095202861</v>
      </c>
      <c r="AK48" s="55">
        <f>Tabell2[[#This Row],[Inntekt-I]]*Vekter!$L$3</f>
        <v>1.8527977710703512</v>
      </c>
      <c r="AL48" s="56">
        <f>SUM(Tabell2[[#This Row],[NIBR11-v]:[Inntekt-v]])</f>
        <v>46.028467425320372</v>
      </c>
    </row>
    <row r="49" spans="1:38" x14ac:dyDescent="0.25">
      <c r="A49" s="2" t="s">
        <v>46</v>
      </c>
      <c r="B49">
        <f>'Rådata-K'!M48</f>
        <v>4</v>
      </c>
      <c r="C49" s="7">
        <f>'Rådata-K'!L48</f>
        <v>74.016666666700004</v>
      </c>
      <c r="D49" s="34">
        <f>'Rådata-K'!N48</f>
        <v>27.631578947368421</v>
      </c>
      <c r="E49" s="34">
        <f>'Rådata-K'!O48</f>
        <v>8.6069354751180382E-2</v>
      </c>
      <c r="F49" s="34">
        <f>'Rådata-K'!P48</f>
        <v>0.11362614300704542</v>
      </c>
      <c r="G49" s="34">
        <f>'Rådata-K'!Q48</f>
        <v>0.16319392394943286</v>
      </c>
      <c r="H49" s="34">
        <f>'Rådata-K'!R48</f>
        <v>7.9776501629675645E-2</v>
      </c>
      <c r="I49" s="34">
        <f>'Rådata-K'!S48</f>
        <v>0.85324142744961173</v>
      </c>
      <c r="J49" s="22">
        <f>'Rådata-K'!K48</f>
        <v>357500</v>
      </c>
      <c r="K49" s="22">
        <f>Tabell2[[#This Row],[NIBR11]]</f>
        <v>4</v>
      </c>
      <c r="L49" s="32">
        <f>IF(Tabell2[[#This Row],[ReisetidOslo]]&lt;=C$434,C$434,IF(Tabell2[[#This Row],[ReisetidOslo]]&gt;=C$435,C$435,Tabell2[[#This Row],[ReisetidOslo]]))</f>
        <v>74.016666666700004</v>
      </c>
      <c r="M49" s="32">
        <f>IF(Tabell2[[#This Row],[Beftettotal]]&lt;=D$434,D$434,IF(Tabell2[[#This Row],[Beftettotal]]&gt;=D$435,D$435,Tabell2[[#This Row],[Beftettotal]]))</f>
        <v>27.631578947368421</v>
      </c>
      <c r="N49" s="34">
        <f>IF(Tabell2[[#This Row],[Befvekst10]]&lt;=E$434,E$434,IF(Tabell2[[#This Row],[Befvekst10]]&gt;=E$435,E$435,Tabell2[[#This Row],[Befvekst10]]))</f>
        <v>8.6069354751180382E-2</v>
      </c>
      <c r="O49" s="34">
        <f>IF(Tabell2[[#This Row],[Kvinneandel]]&lt;=F$434,F$434,IF(Tabell2[[#This Row],[Kvinneandel]]&gt;=F$435,F$435,Tabell2[[#This Row],[Kvinneandel]]))</f>
        <v>0.11362614300704542</v>
      </c>
      <c r="P49" s="34">
        <f>IF(Tabell2[[#This Row],[Eldreandel]]&lt;=G$434,G$434,IF(Tabell2[[#This Row],[Eldreandel]]&gt;=G$435,G$435,Tabell2[[#This Row],[Eldreandel]]))</f>
        <v>0.16319392394943286</v>
      </c>
      <c r="Q49" s="34">
        <f>IF(Tabell2[[#This Row],[Sysselsettingsvekst10]]&lt;=H$434,H$434,IF(Tabell2[[#This Row],[Sysselsettingsvekst10]]&gt;=H$435,H$435,Tabell2[[#This Row],[Sysselsettingsvekst10]]))</f>
        <v>7.9776501629675645E-2</v>
      </c>
      <c r="R49" s="34">
        <f>IF(Tabell2[[#This Row],[Yrkesaktivandel]]&lt;=I$434,I$434,IF(Tabell2[[#This Row],[Yrkesaktivandel]]&gt;=I$435,I$435,Tabell2[[#This Row],[Yrkesaktivandel]]))</f>
        <v>0.85324142744961173</v>
      </c>
      <c r="S49" s="22">
        <f>IF(Tabell2[[#This Row],[Inntekt]]&lt;=J$434,J$434,IF(Tabell2[[#This Row],[Inntekt]]&gt;=J$435,J$435,Tabell2[[#This Row],[Inntekt]]))</f>
        <v>357500</v>
      </c>
      <c r="T49" s="22">
        <f>IF(Tabell2[[#This Row],[NIBR11-T]]&lt;=K$437,100,IF(Tabell2[[#This Row],[NIBR11-T]]&gt;=K$436,0,100*(K$436-Tabell2[[#This Row],[NIBR11-T]])/K$439))</f>
        <v>70</v>
      </c>
      <c r="U49" s="7">
        <f>IF(Tabell2[[#This Row],[ReisetidOslo-T]]&lt;=L$437,100,IF(Tabell2[[#This Row],[ReisetidOslo-T]]&gt;=L$436,0,100*(L$436-Tabell2[[#This Row],[ReisetidOslo-T]])/L$439))</f>
        <v>90.576965265068594</v>
      </c>
      <c r="V49" s="7">
        <f>100-(M$436-Tabell2[[#This Row],[Beftettotal-T]])*100/M$439</f>
        <v>20.346309210428444</v>
      </c>
      <c r="W49" s="7">
        <f>100-(N$436-Tabell2[[#This Row],[Befvekst10-T]])*100/N$439</f>
        <v>65.33402627504492</v>
      </c>
      <c r="X49" s="7">
        <f>100-(O$436-Tabell2[[#This Row],[Kvinneandel-T]])*100/O$439</f>
        <v>61.136308234870484</v>
      </c>
      <c r="Y49" s="7">
        <f>(P$436-Tabell2[[#This Row],[Eldreandel-T]])*100/P$439</f>
        <v>56.092641954690436</v>
      </c>
      <c r="Z49" s="7">
        <f>100-(Q$436-Tabell2[[#This Row],[Sysselsettingsvekst10-T]])*100/Q$439</f>
        <v>44.485334994632943</v>
      </c>
      <c r="AA49" s="7">
        <f>100-(R$436-Tabell2[[#This Row],[Yrkesaktivandel-T]])*100/R$439</f>
        <v>16.351174290983948</v>
      </c>
      <c r="AB49" s="7">
        <f>100-(S$436-Tabell2[[#This Row],[Inntekt-T]])*100/S$439</f>
        <v>30.020896215463196</v>
      </c>
      <c r="AC49" s="55">
        <f>Tabell2[[#This Row],[NIBR11-I]]*Vekter!$B$3</f>
        <v>14</v>
      </c>
      <c r="AD49" s="55">
        <f>Tabell2[[#This Row],[ReisetidOslo-I]]*Vekter!$C$3</f>
        <v>9.0576965265068594</v>
      </c>
      <c r="AE49" s="55">
        <f>Tabell2[[#This Row],[Beftettotal-I]]*Vekter!$D$3</f>
        <v>2.0346309210428446</v>
      </c>
      <c r="AF49" s="55">
        <f>Tabell2[[#This Row],[Befvekst10-I]]*Vekter!$E$3</f>
        <v>13.066805255008985</v>
      </c>
      <c r="AG49" s="55">
        <f>Tabell2[[#This Row],[Kvinneandel-I]]*Vekter!$F$3</f>
        <v>3.0568154117435244</v>
      </c>
      <c r="AH49" s="55">
        <f>Tabell2[[#This Row],[Eldreandel-I]]*Vekter!$G$3</f>
        <v>2.804632097734522</v>
      </c>
      <c r="AI49" s="55">
        <f>Tabell2[[#This Row],[Sysselsettingsvekst10-I]]*Vekter!$H$3</f>
        <v>4.4485334994632941</v>
      </c>
      <c r="AJ49" s="55">
        <f>Tabell2[[#This Row],[Yrkesaktivandel-I]]*Vekter!$J$3</f>
        <v>1.635117429098395</v>
      </c>
      <c r="AK49" s="55">
        <f>Tabell2[[#This Row],[Inntekt-I]]*Vekter!$L$3</f>
        <v>3.00208962154632</v>
      </c>
      <c r="AL49" s="56">
        <f>SUM(Tabell2[[#This Row],[NIBR11-v]:[Inntekt-v]])</f>
        <v>53.106320762144733</v>
      </c>
    </row>
    <row r="50" spans="1:38" x14ac:dyDescent="0.25">
      <c r="A50" s="2" t="s">
        <v>47</v>
      </c>
      <c r="B50">
        <f>'Rådata-K'!M49</f>
        <v>5</v>
      </c>
      <c r="C50" s="7">
        <f>'Rådata-K'!L49</f>
        <v>66.599999999999994</v>
      </c>
      <c r="D50" s="34">
        <f>'Rådata-K'!N49</f>
        <v>10.091707009879165</v>
      </c>
      <c r="E50" s="34">
        <f>'Rådata-K'!O49</f>
        <v>1.0841711019120792E-2</v>
      </c>
      <c r="F50" s="34">
        <f>'Rådata-K'!P49</f>
        <v>9.3018720748829956E-2</v>
      </c>
      <c r="G50" s="34">
        <f>'Rådata-K'!Q49</f>
        <v>0.19734789391575663</v>
      </c>
      <c r="H50" s="34">
        <f>'Rådata-K'!R49</f>
        <v>6.4000000000000057E-2</v>
      </c>
      <c r="I50" s="34">
        <f>'Rådata-K'!S49</f>
        <v>0.81697054698457228</v>
      </c>
      <c r="J50" s="22">
        <f>'Rådata-K'!K49</f>
        <v>337500</v>
      </c>
      <c r="K50" s="22">
        <f>Tabell2[[#This Row],[NIBR11]]</f>
        <v>5</v>
      </c>
      <c r="L50" s="32">
        <f>IF(Tabell2[[#This Row],[ReisetidOslo]]&lt;=C$434,C$434,IF(Tabell2[[#This Row],[ReisetidOslo]]&gt;=C$435,C$435,Tabell2[[#This Row],[ReisetidOslo]]))</f>
        <v>66.599999999999994</v>
      </c>
      <c r="M50" s="32">
        <f>IF(Tabell2[[#This Row],[Beftettotal]]&lt;=D$434,D$434,IF(Tabell2[[#This Row],[Beftettotal]]&gt;=D$435,D$435,Tabell2[[#This Row],[Beftettotal]]))</f>
        <v>10.091707009879165</v>
      </c>
      <c r="N50" s="34">
        <f>IF(Tabell2[[#This Row],[Befvekst10]]&lt;=E$434,E$434,IF(Tabell2[[#This Row],[Befvekst10]]&gt;=E$435,E$435,Tabell2[[#This Row],[Befvekst10]]))</f>
        <v>1.0841711019120792E-2</v>
      </c>
      <c r="O50" s="34">
        <f>IF(Tabell2[[#This Row],[Kvinneandel]]&lt;=F$434,F$434,IF(Tabell2[[#This Row],[Kvinneandel]]&gt;=F$435,F$435,Tabell2[[#This Row],[Kvinneandel]]))</f>
        <v>9.3018720748829956E-2</v>
      </c>
      <c r="P50" s="34">
        <f>IF(Tabell2[[#This Row],[Eldreandel]]&lt;=G$434,G$434,IF(Tabell2[[#This Row],[Eldreandel]]&gt;=G$435,G$435,Tabell2[[#This Row],[Eldreandel]]))</f>
        <v>0.19734789391575663</v>
      </c>
      <c r="Q50" s="34">
        <f>IF(Tabell2[[#This Row],[Sysselsettingsvekst10]]&lt;=H$434,H$434,IF(Tabell2[[#This Row],[Sysselsettingsvekst10]]&gt;=H$435,H$435,Tabell2[[#This Row],[Sysselsettingsvekst10]]))</f>
        <v>6.4000000000000057E-2</v>
      </c>
      <c r="R50" s="34">
        <f>IF(Tabell2[[#This Row],[Yrkesaktivandel]]&lt;=I$434,I$434,IF(Tabell2[[#This Row],[Yrkesaktivandel]]&gt;=I$435,I$435,Tabell2[[#This Row],[Yrkesaktivandel]]))</f>
        <v>0.83197552842263423</v>
      </c>
      <c r="S50" s="22">
        <f>IF(Tabell2[[#This Row],[Inntekt]]&lt;=J$434,J$434,IF(Tabell2[[#This Row],[Inntekt]]&gt;=J$435,J$435,Tabell2[[#This Row],[Inntekt]]))</f>
        <v>337500</v>
      </c>
      <c r="T50" s="22">
        <f>IF(Tabell2[[#This Row],[NIBR11-T]]&lt;=K$437,100,IF(Tabell2[[#This Row],[NIBR11-T]]&gt;=K$436,0,100*(K$436-Tabell2[[#This Row],[NIBR11-T]])/K$439))</f>
        <v>60</v>
      </c>
      <c r="U50" s="7">
        <f>IF(Tabell2[[#This Row],[ReisetidOslo-T]]&lt;=L$437,100,IF(Tabell2[[#This Row],[ReisetidOslo-T]]&gt;=L$436,0,100*(L$436-Tabell2[[#This Row],[ReisetidOslo-T]])/L$439))</f>
        <v>93.831078610603925</v>
      </c>
      <c r="V50" s="7">
        <f>100-(M$436-Tabell2[[#This Row],[Beftettotal-T]])*100/M$439</f>
        <v>6.7779768008240779</v>
      </c>
      <c r="W50" s="7">
        <f>100-(N$436-Tabell2[[#This Row],[Befvekst10-T]])*100/N$439</f>
        <v>35.044627021413689</v>
      </c>
      <c r="X50" s="7">
        <f>100-(O$436-Tabell2[[#This Row],[Kvinneandel-T]])*100/O$439</f>
        <v>6.6815767873927427</v>
      </c>
      <c r="Y50" s="7">
        <f>(P$436-Tabell2[[#This Row],[Eldreandel-T]])*100/P$439</f>
        <v>18.668363160858824</v>
      </c>
      <c r="Z50" s="7">
        <f>100-(Q$436-Tabell2[[#This Row],[Sysselsettingsvekst10-T]])*100/Q$439</f>
        <v>39.791180427155226</v>
      </c>
      <c r="AA50" s="7">
        <f>100-(R$436-Tabell2[[#This Row],[Yrkesaktivandel-T]])*100/R$439</f>
        <v>0</v>
      </c>
      <c r="AB50" s="7">
        <f>100-(S$436-Tabell2[[#This Row],[Inntekt-T]])*100/S$439</f>
        <v>6.8028790341304841</v>
      </c>
      <c r="AC50" s="55">
        <f>Tabell2[[#This Row],[NIBR11-I]]*Vekter!$B$3</f>
        <v>12</v>
      </c>
      <c r="AD50" s="55">
        <f>Tabell2[[#This Row],[ReisetidOslo-I]]*Vekter!$C$3</f>
        <v>9.3831078610603935</v>
      </c>
      <c r="AE50" s="55">
        <f>Tabell2[[#This Row],[Beftettotal-I]]*Vekter!$D$3</f>
        <v>0.67779768008240782</v>
      </c>
      <c r="AF50" s="55">
        <f>Tabell2[[#This Row],[Befvekst10-I]]*Vekter!$E$3</f>
        <v>7.0089254042827385</v>
      </c>
      <c r="AG50" s="55">
        <f>Tabell2[[#This Row],[Kvinneandel-I]]*Vekter!$F$3</f>
        <v>0.33407883936963717</v>
      </c>
      <c r="AH50" s="55">
        <f>Tabell2[[#This Row],[Eldreandel-I]]*Vekter!$G$3</f>
        <v>0.93341815804294126</v>
      </c>
      <c r="AI50" s="55">
        <f>Tabell2[[#This Row],[Sysselsettingsvekst10-I]]*Vekter!$H$3</f>
        <v>3.9791180427155228</v>
      </c>
      <c r="AJ50" s="55">
        <f>Tabell2[[#This Row],[Yrkesaktivandel-I]]*Vekter!$J$3</f>
        <v>0</v>
      </c>
      <c r="AK50" s="55">
        <f>Tabell2[[#This Row],[Inntekt-I]]*Vekter!$L$3</f>
        <v>0.68028790341304846</v>
      </c>
      <c r="AL50" s="56">
        <f>SUM(Tabell2[[#This Row],[NIBR11-v]:[Inntekt-v]])</f>
        <v>34.996733888966688</v>
      </c>
    </row>
    <row r="51" spans="1:38" x14ac:dyDescent="0.25">
      <c r="A51" s="2" t="s">
        <v>48</v>
      </c>
      <c r="B51">
        <f>'Rådata-K'!M50</f>
        <v>5</v>
      </c>
      <c r="C51" s="7">
        <f>'Rådata-K'!L50</f>
        <v>54.95</v>
      </c>
      <c r="D51" s="34">
        <f>'Rådata-K'!N50</f>
        <v>15.094631729689979</v>
      </c>
      <c r="E51" s="34">
        <f>'Rådata-K'!O50</f>
        <v>2.3219205037386947E-2</v>
      </c>
      <c r="F51" s="34">
        <f>'Rådata-K'!P50</f>
        <v>0.10564102564102563</v>
      </c>
      <c r="G51" s="34">
        <f>'Rådata-K'!Q50</f>
        <v>0.16679487179487179</v>
      </c>
      <c r="H51" s="34">
        <f>'Rådata-K'!R50</f>
        <v>4.6838407494145251E-3</v>
      </c>
      <c r="I51" s="34">
        <f>'Rådata-K'!S50</f>
        <v>0.84895379250217962</v>
      </c>
      <c r="J51" s="22">
        <f>'Rådata-K'!K50</f>
        <v>355600</v>
      </c>
      <c r="K51" s="22">
        <f>Tabell2[[#This Row],[NIBR11]]</f>
        <v>5</v>
      </c>
      <c r="L51" s="32">
        <f>IF(Tabell2[[#This Row],[ReisetidOslo]]&lt;=C$434,C$434,IF(Tabell2[[#This Row],[ReisetidOslo]]&gt;=C$435,C$435,Tabell2[[#This Row],[ReisetidOslo]]))</f>
        <v>54.95</v>
      </c>
      <c r="M51" s="32">
        <f>IF(Tabell2[[#This Row],[Beftettotal]]&lt;=D$434,D$434,IF(Tabell2[[#This Row],[Beftettotal]]&gt;=D$435,D$435,Tabell2[[#This Row],[Beftettotal]]))</f>
        <v>15.094631729689979</v>
      </c>
      <c r="N51" s="34">
        <f>IF(Tabell2[[#This Row],[Befvekst10]]&lt;=E$434,E$434,IF(Tabell2[[#This Row],[Befvekst10]]&gt;=E$435,E$435,Tabell2[[#This Row],[Befvekst10]]))</f>
        <v>2.3219205037386947E-2</v>
      </c>
      <c r="O51" s="34">
        <f>IF(Tabell2[[#This Row],[Kvinneandel]]&lt;=F$434,F$434,IF(Tabell2[[#This Row],[Kvinneandel]]&gt;=F$435,F$435,Tabell2[[#This Row],[Kvinneandel]]))</f>
        <v>0.10564102564102563</v>
      </c>
      <c r="P51" s="34">
        <f>IF(Tabell2[[#This Row],[Eldreandel]]&lt;=G$434,G$434,IF(Tabell2[[#This Row],[Eldreandel]]&gt;=G$435,G$435,Tabell2[[#This Row],[Eldreandel]]))</f>
        <v>0.16679487179487179</v>
      </c>
      <c r="Q51" s="34">
        <f>IF(Tabell2[[#This Row],[Sysselsettingsvekst10]]&lt;=H$434,H$434,IF(Tabell2[[#This Row],[Sysselsettingsvekst10]]&gt;=H$435,H$435,Tabell2[[#This Row],[Sysselsettingsvekst10]]))</f>
        <v>4.6838407494145251E-3</v>
      </c>
      <c r="R51" s="34">
        <f>IF(Tabell2[[#This Row],[Yrkesaktivandel]]&lt;=I$434,I$434,IF(Tabell2[[#This Row],[Yrkesaktivandel]]&gt;=I$435,I$435,Tabell2[[#This Row],[Yrkesaktivandel]]))</f>
        <v>0.84895379250217962</v>
      </c>
      <c r="S51" s="22">
        <f>IF(Tabell2[[#This Row],[Inntekt]]&lt;=J$434,J$434,IF(Tabell2[[#This Row],[Inntekt]]&gt;=J$435,J$435,Tabell2[[#This Row],[Inntekt]]))</f>
        <v>355600</v>
      </c>
      <c r="T51" s="22">
        <f>IF(Tabell2[[#This Row],[NIBR11-T]]&lt;=K$437,100,IF(Tabell2[[#This Row],[NIBR11-T]]&gt;=K$436,0,100*(K$436-Tabell2[[#This Row],[NIBR11-T]])/K$439))</f>
        <v>60</v>
      </c>
      <c r="U51" s="7">
        <f>IF(Tabell2[[#This Row],[ReisetidOslo-T]]&lt;=L$437,100,IF(Tabell2[[#This Row],[ReisetidOslo-T]]&gt;=L$436,0,100*(L$436-Tabell2[[#This Row],[ReisetidOslo-T]])/L$439))</f>
        <v>98.942595978062272</v>
      </c>
      <c r="V51" s="7">
        <f>100-(M$436-Tabell2[[#This Row],[Beftettotal-T]])*100/M$439</f>
        <v>10.648093176846885</v>
      </c>
      <c r="W51" s="7">
        <f>100-(N$436-Tabell2[[#This Row],[Befvekst10-T]])*100/N$439</f>
        <v>40.028258562686105</v>
      </c>
      <c r="X51" s="7">
        <f>100-(O$436-Tabell2[[#This Row],[Kvinneandel-T]])*100/O$439</f>
        <v>40.035783564937667</v>
      </c>
      <c r="Y51" s="7">
        <f>(P$436-Tabell2[[#This Row],[Eldreandel-T]])*100/P$439</f>
        <v>52.146896373060194</v>
      </c>
      <c r="Z51" s="7">
        <f>100-(Q$436-Tabell2[[#This Row],[Sysselsettingsvekst10-T]])*100/Q$439</f>
        <v>22.142196741974459</v>
      </c>
      <c r="AA51" s="7">
        <f>100-(R$436-Tabell2[[#This Row],[Yrkesaktivandel-T]])*100/R$439</f>
        <v>13.054447158374174</v>
      </c>
      <c r="AB51" s="7">
        <f>100-(S$436-Tabell2[[#This Row],[Inntekt-T]])*100/S$439</f>
        <v>27.815184583236586</v>
      </c>
      <c r="AC51" s="55">
        <f>Tabell2[[#This Row],[NIBR11-I]]*Vekter!$B$3</f>
        <v>12</v>
      </c>
      <c r="AD51" s="55">
        <f>Tabell2[[#This Row],[ReisetidOslo-I]]*Vekter!$C$3</f>
        <v>9.8942595978062275</v>
      </c>
      <c r="AE51" s="55">
        <f>Tabell2[[#This Row],[Beftettotal-I]]*Vekter!$D$3</f>
        <v>1.0648093176846885</v>
      </c>
      <c r="AF51" s="55">
        <f>Tabell2[[#This Row],[Befvekst10-I]]*Vekter!$E$3</f>
        <v>8.0056517125372206</v>
      </c>
      <c r="AG51" s="55">
        <f>Tabell2[[#This Row],[Kvinneandel-I]]*Vekter!$F$3</f>
        <v>2.0017891782468835</v>
      </c>
      <c r="AH51" s="55">
        <f>Tabell2[[#This Row],[Eldreandel-I]]*Vekter!$G$3</f>
        <v>2.6073448186530097</v>
      </c>
      <c r="AI51" s="55">
        <f>Tabell2[[#This Row],[Sysselsettingsvekst10-I]]*Vekter!$H$3</f>
        <v>2.2142196741974458</v>
      </c>
      <c r="AJ51" s="55">
        <f>Tabell2[[#This Row],[Yrkesaktivandel-I]]*Vekter!$J$3</f>
        <v>1.3054447158374174</v>
      </c>
      <c r="AK51" s="55">
        <f>Tabell2[[#This Row],[Inntekt-I]]*Vekter!$L$3</f>
        <v>2.7815184583236587</v>
      </c>
      <c r="AL51" s="56">
        <f>SUM(Tabell2[[#This Row],[NIBR11-v]:[Inntekt-v]])</f>
        <v>41.875037473286547</v>
      </c>
    </row>
    <row r="52" spans="1:38" x14ac:dyDescent="0.25">
      <c r="A52" s="2" t="s">
        <v>49</v>
      </c>
      <c r="B52">
        <f>'Rådata-K'!M51</f>
        <v>5</v>
      </c>
      <c r="C52" s="7">
        <f>'Rådata-K'!L51</f>
        <v>78.233333333299996</v>
      </c>
      <c r="D52" s="34">
        <f>'Rådata-K'!N51</f>
        <v>9.7112696950295909</v>
      </c>
      <c r="E52" s="34">
        <f>'Rådata-K'!O51</f>
        <v>-4.3083551315587054E-2</v>
      </c>
      <c r="F52" s="34">
        <f>'Rådata-K'!P51</f>
        <v>9.3423379964624534E-2</v>
      </c>
      <c r="G52" s="34">
        <f>'Rådata-K'!Q51</f>
        <v>0.1948866377231066</v>
      </c>
      <c r="H52" s="34">
        <f>'Rådata-K'!R51</f>
        <v>-2.8004073319755629E-2</v>
      </c>
      <c r="I52" s="34">
        <f>'Rådata-K'!S51</f>
        <v>0.796973158195317</v>
      </c>
      <c r="J52" s="22">
        <f>'Rådata-K'!K51</f>
        <v>318600</v>
      </c>
      <c r="K52" s="22">
        <f>Tabell2[[#This Row],[NIBR11]]</f>
        <v>5</v>
      </c>
      <c r="L52" s="32">
        <f>IF(Tabell2[[#This Row],[ReisetidOslo]]&lt;=C$434,C$434,IF(Tabell2[[#This Row],[ReisetidOslo]]&gt;=C$435,C$435,Tabell2[[#This Row],[ReisetidOslo]]))</f>
        <v>78.233333333299996</v>
      </c>
      <c r="M52" s="32">
        <f>IF(Tabell2[[#This Row],[Beftettotal]]&lt;=D$434,D$434,IF(Tabell2[[#This Row],[Beftettotal]]&gt;=D$435,D$435,Tabell2[[#This Row],[Beftettotal]]))</f>
        <v>9.7112696950295909</v>
      </c>
      <c r="N52" s="34">
        <f>IF(Tabell2[[#This Row],[Befvekst10]]&lt;=E$434,E$434,IF(Tabell2[[#This Row],[Befvekst10]]&gt;=E$435,E$435,Tabell2[[#This Row],[Befvekst10]]))</f>
        <v>-4.3083551315587054E-2</v>
      </c>
      <c r="O52" s="34">
        <f>IF(Tabell2[[#This Row],[Kvinneandel]]&lt;=F$434,F$434,IF(Tabell2[[#This Row],[Kvinneandel]]&gt;=F$435,F$435,Tabell2[[#This Row],[Kvinneandel]]))</f>
        <v>9.3423379964624534E-2</v>
      </c>
      <c r="P52" s="34">
        <f>IF(Tabell2[[#This Row],[Eldreandel]]&lt;=G$434,G$434,IF(Tabell2[[#This Row],[Eldreandel]]&gt;=G$435,G$435,Tabell2[[#This Row],[Eldreandel]]))</f>
        <v>0.1948866377231066</v>
      </c>
      <c r="Q52" s="34">
        <f>IF(Tabell2[[#This Row],[Sysselsettingsvekst10]]&lt;=H$434,H$434,IF(Tabell2[[#This Row],[Sysselsettingsvekst10]]&gt;=H$435,H$435,Tabell2[[#This Row],[Sysselsettingsvekst10]]))</f>
        <v>-2.8004073319755629E-2</v>
      </c>
      <c r="R52" s="34">
        <f>IF(Tabell2[[#This Row],[Yrkesaktivandel]]&lt;=I$434,I$434,IF(Tabell2[[#This Row],[Yrkesaktivandel]]&gt;=I$435,I$435,Tabell2[[#This Row],[Yrkesaktivandel]]))</f>
        <v>0.83197552842263423</v>
      </c>
      <c r="S52" s="22">
        <f>IF(Tabell2[[#This Row],[Inntekt]]&lt;=J$434,J$434,IF(Tabell2[[#This Row],[Inntekt]]&gt;=J$435,J$435,Tabell2[[#This Row],[Inntekt]]))</f>
        <v>331640</v>
      </c>
      <c r="T52" s="22">
        <f>IF(Tabell2[[#This Row],[NIBR11-T]]&lt;=K$437,100,IF(Tabell2[[#This Row],[NIBR11-T]]&gt;=K$436,0,100*(K$436-Tabell2[[#This Row],[NIBR11-T]])/K$439))</f>
        <v>60</v>
      </c>
      <c r="U52" s="7">
        <f>IF(Tabell2[[#This Row],[ReisetidOslo-T]]&lt;=L$437,100,IF(Tabell2[[#This Row],[ReisetidOslo-T]]&gt;=L$436,0,100*(L$436-Tabell2[[#This Row],[ReisetidOslo-T]])/L$439))</f>
        <v>88.726873857419804</v>
      </c>
      <c r="V52" s="7">
        <f>100-(M$436-Tabell2[[#This Row],[Beftettotal-T]])*100/M$439</f>
        <v>6.4836816105688087</v>
      </c>
      <c r="W52" s="7">
        <f>100-(N$436-Tabell2[[#This Row],[Befvekst10-T]])*100/N$439</f>
        <v>13.33234521008427</v>
      </c>
      <c r="X52" s="7">
        <f>100-(O$436-Tabell2[[#This Row],[Kvinneandel-T]])*100/O$439</f>
        <v>7.750881266513403</v>
      </c>
      <c r="Y52" s="7">
        <f>(P$436-Tabell2[[#This Row],[Eldreandel-T]])*100/P$439</f>
        <v>21.365289404794787</v>
      </c>
      <c r="Z52" s="7">
        <f>100-(Q$436-Tabell2[[#This Row],[Sysselsettingsvekst10-T]])*100/Q$439</f>
        <v>12.416205217941666</v>
      </c>
      <c r="AA52" s="7">
        <f>100-(R$436-Tabell2[[#This Row],[Yrkesaktivandel-T]])*100/R$439</f>
        <v>0</v>
      </c>
      <c r="AB52" s="7">
        <f>100-(S$436-Tabell2[[#This Row],[Inntekt-T]])*100/S$439</f>
        <v>0</v>
      </c>
      <c r="AC52" s="55">
        <f>Tabell2[[#This Row],[NIBR11-I]]*Vekter!$B$3</f>
        <v>12</v>
      </c>
      <c r="AD52" s="55">
        <f>Tabell2[[#This Row],[ReisetidOslo-I]]*Vekter!$C$3</f>
        <v>8.8726873857419815</v>
      </c>
      <c r="AE52" s="55">
        <f>Tabell2[[#This Row],[Beftettotal-I]]*Vekter!$D$3</f>
        <v>0.64836816105688089</v>
      </c>
      <c r="AF52" s="55">
        <f>Tabell2[[#This Row],[Befvekst10-I]]*Vekter!$E$3</f>
        <v>2.6664690420168542</v>
      </c>
      <c r="AG52" s="55">
        <f>Tabell2[[#This Row],[Kvinneandel-I]]*Vekter!$F$3</f>
        <v>0.38754406332567015</v>
      </c>
      <c r="AH52" s="55">
        <f>Tabell2[[#This Row],[Eldreandel-I]]*Vekter!$G$3</f>
        <v>1.0682644702397395</v>
      </c>
      <c r="AI52" s="55">
        <f>Tabell2[[#This Row],[Sysselsettingsvekst10-I]]*Vekter!$H$3</f>
        <v>1.2416205217941667</v>
      </c>
      <c r="AJ52" s="55">
        <f>Tabell2[[#This Row],[Yrkesaktivandel-I]]*Vekter!$J$3</f>
        <v>0</v>
      </c>
      <c r="AK52" s="55">
        <f>Tabell2[[#This Row],[Inntekt-I]]*Vekter!$L$3</f>
        <v>0</v>
      </c>
      <c r="AL52" s="56">
        <f>SUM(Tabell2[[#This Row],[NIBR11-v]:[Inntekt-v]])</f>
        <v>26.884953644175294</v>
      </c>
    </row>
    <row r="53" spans="1:38" x14ac:dyDescent="0.25">
      <c r="A53" s="2" t="s">
        <v>50</v>
      </c>
      <c r="B53">
        <f>'Rådata-K'!M52</f>
        <v>6</v>
      </c>
      <c r="C53" s="7">
        <f>'Rådata-K'!L52</f>
        <v>96.616666666699999</v>
      </c>
      <c r="D53" s="34">
        <f>'Rådata-K'!N52</f>
        <v>5.7968417783511317</v>
      </c>
      <c r="E53" s="34">
        <f>'Rådata-K'!O52</f>
        <v>-7.999999999999996E-2</v>
      </c>
      <c r="F53" s="34">
        <f>'Rådata-K'!P52</f>
        <v>7.9950546053987229E-2</v>
      </c>
      <c r="G53" s="34">
        <f>'Rådata-K'!Q52</f>
        <v>0.2266639192252215</v>
      </c>
      <c r="H53" s="34">
        <f>'Rådata-K'!R52</f>
        <v>-6.683168316831678E-2</v>
      </c>
      <c r="I53" s="34">
        <f>'Rådata-K'!S52</f>
        <v>0.83808437856328388</v>
      </c>
      <c r="J53" s="22">
        <f>'Rådata-K'!K52</f>
        <v>332400</v>
      </c>
      <c r="K53" s="22">
        <f>Tabell2[[#This Row],[NIBR11]]</f>
        <v>6</v>
      </c>
      <c r="L53" s="32">
        <f>IF(Tabell2[[#This Row],[ReisetidOslo]]&lt;=C$434,C$434,IF(Tabell2[[#This Row],[ReisetidOslo]]&gt;=C$435,C$435,Tabell2[[#This Row],[ReisetidOslo]]))</f>
        <v>96.616666666699999</v>
      </c>
      <c r="M53" s="32">
        <f>IF(Tabell2[[#This Row],[Beftettotal]]&lt;=D$434,D$434,IF(Tabell2[[#This Row],[Beftettotal]]&gt;=D$435,D$435,Tabell2[[#This Row],[Beftettotal]]))</f>
        <v>5.7968417783511317</v>
      </c>
      <c r="N53" s="34">
        <f>IF(Tabell2[[#This Row],[Befvekst10]]&lt;=E$434,E$434,IF(Tabell2[[#This Row],[Befvekst10]]&gt;=E$435,E$435,Tabell2[[#This Row],[Befvekst10]]))</f>
        <v>-7.6196156394963507E-2</v>
      </c>
      <c r="O53" s="34">
        <f>IF(Tabell2[[#This Row],[Kvinneandel]]&lt;=F$434,F$434,IF(Tabell2[[#This Row],[Kvinneandel]]&gt;=F$435,F$435,Tabell2[[#This Row],[Kvinneandel]]))</f>
        <v>9.0490197137593403E-2</v>
      </c>
      <c r="P53" s="34">
        <f>IF(Tabell2[[#This Row],[Eldreandel]]&lt;=G$434,G$434,IF(Tabell2[[#This Row],[Eldreandel]]&gt;=G$435,G$435,Tabell2[[#This Row],[Eldreandel]]))</f>
        <v>0.21438492803547596</v>
      </c>
      <c r="Q53" s="34">
        <f>IF(Tabell2[[#This Row],[Sysselsettingsvekst10]]&lt;=H$434,H$434,IF(Tabell2[[#This Row],[Sysselsettingsvekst10]]&gt;=H$435,H$435,Tabell2[[#This Row],[Sysselsettingsvekst10]]))</f>
        <v>-6.683168316831678E-2</v>
      </c>
      <c r="R53" s="34">
        <f>IF(Tabell2[[#This Row],[Yrkesaktivandel]]&lt;=I$434,I$434,IF(Tabell2[[#This Row],[Yrkesaktivandel]]&gt;=I$435,I$435,Tabell2[[#This Row],[Yrkesaktivandel]]))</f>
        <v>0.83808437856328388</v>
      </c>
      <c r="S53" s="22">
        <f>IF(Tabell2[[#This Row],[Inntekt]]&lt;=J$434,J$434,IF(Tabell2[[#This Row],[Inntekt]]&gt;=J$435,J$435,Tabell2[[#This Row],[Inntekt]]))</f>
        <v>332400</v>
      </c>
      <c r="T53" s="22">
        <f>IF(Tabell2[[#This Row],[NIBR11-T]]&lt;=K$437,100,IF(Tabell2[[#This Row],[NIBR11-T]]&gt;=K$436,0,100*(K$436-Tabell2[[#This Row],[NIBR11-T]])/K$439))</f>
        <v>50</v>
      </c>
      <c r="U53" s="7">
        <f>IF(Tabell2[[#This Row],[ReisetidOslo-T]]&lt;=L$437,100,IF(Tabell2[[#This Row],[ReisetidOslo-T]]&gt;=L$436,0,100*(L$436-Tabell2[[#This Row],[ReisetidOslo-T]])/L$439))</f>
        <v>80.661060329055005</v>
      </c>
      <c r="V53" s="7">
        <f>100-(M$436-Tabell2[[#This Row],[Beftettotal-T]])*100/M$439</f>
        <v>3.4555945551891369</v>
      </c>
      <c r="W53" s="7">
        <f>100-(N$436-Tabell2[[#This Row],[Befvekst10-T]])*100/N$439</f>
        <v>0</v>
      </c>
      <c r="X53" s="7">
        <f>100-(O$436-Tabell2[[#This Row],[Kvinneandel-T]])*100/O$439</f>
        <v>0</v>
      </c>
      <c r="Y53" s="7">
        <f>(P$436-Tabell2[[#This Row],[Eldreandel-T]])*100/P$439</f>
        <v>0</v>
      </c>
      <c r="Z53" s="7">
        <f>100-(Q$436-Tabell2[[#This Row],[Sysselsettingsvekst10-T]])*100/Q$439</f>
        <v>0.86340305728836597</v>
      </c>
      <c r="AA53" s="7">
        <f>100-(R$436-Tabell2[[#This Row],[Yrkesaktivandel-T]])*100/R$439</f>
        <v>4.6970444673206515</v>
      </c>
      <c r="AB53" s="7">
        <f>100-(S$436-Tabell2[[#This Row],[Inntekt-T]])*100/S$439</f>
        <v>0.88228465289064673</v>
      </c>
      <c r="AC53" s="55">
        <f>Tabell2[[#This Row],[NIBR11-I]]*Vekter!$B$3</f>
        <v>10</v>
      </c>
      <c r="AD53" s="55">
        <f>Tabell2[[#This Row],[ReisetidOslo-I]]*Vekter!$C$3</f>
        <v>8.0661060329055001</v>
      </c>
      <c r="AE53" s="55">
        <f>Tabell2[[#This Row],[Beftettotal-I]]*Vekter!$D$3</f>
        <v>0.34555945551891371</v>
      </c>
      <c r="AF53" s="55">
        <f>Tabell2[[#This Row],[Befvekst10-I]]*Vekter!$E$3</f>
        <v>0</v>
      </c>
      <c r="AG53" s="55">
        <f>Tabell2[[#This Row],[Kvinneandel-I]]*Vekter!$F$3</f>
        <v>0</v>
      </c>
      <c r="AH53" s="55">
        <f>Tabell2[[#This Row],[Eldreandel-I]]*Vekter!$G$3</f>
        <v>0</v>
      </c>
      <c r="AI53" s="55">
        <f>Tabell2[[#This Row],[Sysselsettingsvekst10-I]]*Vekter!$H$3</f>
        <v>8.6340305728836608E-2</v>
      </c>
      <c r="AJ53" s="55">
        <f>Tabell2[[#This Row],[Yrkesaktivandel-I]]*Vekter!$J$3</f>
        <v>0.46970444673206518</v>
      </c>
      <c r="AK53" s="55">
        <f>Tabell2[[#This Row],[Inntekt-I]]*Vekter!$L$3</f>
        <v>8.8228465289064681E-2</v>
      </c>
      <c r="AL53" s="56">
        <f>SUM(Tabell2[[#This Row],[NIBR11-v]:[Inntekt-v]])</f>
        <v>19.055938706174381</v>
      </c>
    </row>
    <row r="54" spans="1:38" x14ac:dyDescent="0.25">
      <c r="A54" s="2" t="s">
        <v>51</v>
      </c>
      <c r="B54">
        <f>'Rådata-K'!M53</f>
        <v>5</v>
      </c>
      <c r="C54" s="7">
        <f>'Rådata-K'!L53</f>
        <v>111.333333333</v>
      </c>
      <c r="D54" s="34">
        <f>'Rådata-K'!N53</f>
        <v>7.2636271062693334</v>
      </c>
      <c r="E54" s="34">
        <f>'Rådata-K'!O53</f>
        <v>-2.8024167630800845E-2</v>
      </c>
      <c r="F54" s="34">
        <f>'Rådata-K'!P53</f>
        <v>9.2448088877132656E-2</v>
      </c>
      <c r="G54" s="34">
        <f>'Rådata-K'!Q53</f>
        <v>0.22073799761936252</v>
      </c>
      <c r="H54" s="34">
        <f>'Rådata-K'!R53</f>
        <v>2.1516393442623016E-2</v>
      </c>
      <c r="I54" s="34">
        <f>'Rådata-K'!S53</f>
        <v>0.79520645467489326</v>
      </c>
      <c r="J54" s="22">
        <f>'Rådata-K'!K53</f>
        <v>327600</v>
      </c>
      <c r="K54" s="22">
        <f>Tabell2[[#This Row],[NIBR11]]</f>
        <v>5</v>
      </c>
      <c r="L54" s="32">
        <f>IF(Tabell2[[#This Row],[ReisetidOslo]]&lt;=C$434,C$434,IF(Tabell2[[#This Row],[ReisetidOslo]]&gt;=C$435,C$435,Tabell2[[#This Row],[ReisetidOslo]]))</f>
        <v>111.333333333</v>
      </c>
      <c r="M54" s="32">
        <f>IF(Tabell2[[#This Row],[Beftettotal]]&lt;=D$434,D$434,IF(Tabell2[[#This Row],[Beftettotal]]&gt;=D$435,D$435,Tabell2[[#This Row],[Beftettotal]]))</f>
        <v>7.2636271062693334</v>
      </c>
      <c r="N54" s="34">
        <f>IF(Tabell2[[#This Row],[Befvekst10]]&lt;=E$434,E$434,IF(Tabell2[[#This Row],[Befvekst10]]&gt;=E$435,E$435,Tabell2[[#This Row],[Befvekst10]]))</f>
        <v>-2.8024167630800845E-2</v>
      </c>
      <c r="O54" s="34">
        <f>IF(Tabell2[[#This Row],[Kvinneandel]]&lt;=F$434,F$434,IF(Tabell2[[#This Row],[Kvinneandel]]&gt;=F$435,F$435,Tabell2[[#This Row],[Kvinneandel]]))</f>
        <v>9.2448088877132656E-2</v>
      </c>
      <c r="P54" s="34">
        <f>IF(Tabell2[[#This Row],[Eldreandel]]&lt;=G$434,G$434,IF(Tabell2[[#This Row],[Eldreandel]]&gt;=G$435,G$435,Tabell2[[#This Row],[Eldreandel]]))</f>
        <v>0.21438492803547596</v>
      </c>
      <c r="Q54" s="34">
        <f>IF(Tabell2[[#This Row],[Sysselsettingsvekst10]]&lt;=H$434,H$434,IF(Tabell2[[#This Row],[Sysselsettingsvekst10]]&gt;=H$435,H$435,Tabell2[[#This Row],[Sysselsettingsvekst10]]))</f>
        <v>2.1516393442623016E-2</v>
      </c>
      <c r="R54" s="34">
        <f>IF(Tabell2[[#This Row],[Yrkesaktivandel]]&lt;=I$434,I$434,IF(Tabell2[[#This Row],[Yrkesaktivandel]]&gt;=I$435,I$435,Tabell2[[#This Row],[Yrkesaktivandel]]))</f>
        <v>0.83197552842263423</v>
      </c>
      <c r="S54" s="22">
        <f>IF(Tabell2[[#This Row],[Inntekt]]&lt;=J$434,J$434,IF(Tabell2[[#This Row],[Inntekt]]&gt;=J$435,J$435,Tabell2[[#This Row],[Inntekt]]))</f>
        <v>331640</v>
      </c>
      <c r="T54" s="22">
        <f>IF(Tabell2[[#This Row],[NIBR11-T]]&lt;=K$437,100,IF(Tabell2[[#This Row],[NIBR11-T]]&gt;=K$436,0,100*(K$436-Tabell2[[#This Row],[NIBR11-T]])/K$439))</f>
        <v>60</v>
      </c>
      <c r="U54" s="7">
        <f>IF(Tabell2[[#This Row],[ReisetidOslo-T]]&lt;=L$437,100,IF(Tabell2[[#This Row],[ReisetidOslo-T]]&gt;=L$436,0,100*(L$436-Tabell2[[#This Row],[ReisetidOslo-T]])/L$439))</f>
        <v>74.204021937991683</v>
      </c>
      <c r="V54" s="7">
        <f>100-(M$436-Tabell2[[#This Row],[Beftettotal-T]])*100/M$439</f>
        <v>4.5902568248826299</v>
      </c>
      <c r="W54" s="7">
        <f>100-(N$436-Tabell2[[#This Row],[Befvekst10-T]])*100/N$439</f>
        <v>19.395803565456333</v>
      </c>
      <c r="X54" s="7">
        <f>100-(O$436-Tabell2[[#This Row],[Kvinneandel-T]])*100/O$439</f>
        <v>5.1736926406378103</v>
      </c>
      <c r="Y54" s="7">
        <f>(P$436-Tabell2[[#This Row],[Eldreandel-T]])*100/P$439</f>
        <v>0</v>
      </c>
      <c r="Z54" s="7">
        <f>100-(Q$436-Tabell2[[#This Row],[Sysselsettingsvekst10-T]])*100/Q$439</f>
        <v>27.150569698277252</v>
      </c>
      <c r="AA54" s="7">
        <f>100-(R$436-Tabell2[[#This Row],[Yrkesaktivandel-T]])*100/R$439</f>
        <v>0</v>
      </c>
      <c r="AB54" s="7">
        <f>100-(S$436-Tabell2[[#This Row],[Inntekt-T]])*100/S$439</f>
        <v>0</v>
      </c>
      <c r="AC54" s="55">
        <f>Tabell2[[#This Row],[NIBR11-I]]*Vekter!$B$3</f>
        <v>12</v>
      </c>
      <c r="AD54" s="55">
        <f>Tabell2[[#This Row],[ReisetidOslo-I]]*Vekter!$C$3</f>
        <v>7.4204021937991689</v>
      </c>
      <c r="AE54" s="55">
        <f>Tabell2[[#This Row],[Beftettotal-I]]*Vekter!$D$3</f>
        <v>0.45902568248826303</v>
      </c>
      <c r="AF54" s="55">
        <f>Tabell2[[#This Row],[Befvekst10-I]]*Vekter!$E$3</f>
        <v>3.8791607130912666</v>
      </c>
      <c r="AG54" s="55">
        <f>Tabell2[[#This Row],[Kvinneandel-I]]*Vekter!$F$3</f>
        <v>0.25868463203189052</v>
      </c>
      <c r="AH54" s="55">
        <f>Tabell2[[#This Row],[Eldreandel-I]]*Vekter!$G$3</f>
        <v>0</v>
      </c>
      <c r="AI54" s="55">
        <f>Tabell2[[#This Row],[Sysselsettingsvekst10-I]]*Vekter!$H$3</f>
        <v>2.7150569698277254</v>
      </c>
      <c r="AJ54" s="55">
        <f>Tabell2[[#This Row],[Yrkesaktivandel-I]]*Vekter!$J$3</f>
        <v>0</v>
      </c>
      <c r="AK54" s="55">
        <f>Tabell2[[#This Row],[Inntekt-I]]*Vekter!$L$3</f>
        <v>0</v>
      </c>
      <c r="AL54" s="56">
        <f>SUM(Tabell2[[#This Row],[NIBR11-v]:[Inntekt-v]])</f>
        <v>26.732330191238315</v>
      </c>
    </row>
    <row r="55" spans="1:38" x14ac:dyDescent="0.25">
      <c r="A55" s="2" t="s">
        <v>52</v>
      </c>
      <c r="B55">
        <f>'Rådata-K'!M54</f>
        <v>5</v>
      </c>
      <c r="C55" s="7">
        <f>'Rådata-K'!L54</f>
        <v>108.283333333</v>
      </c>
      <c r="D55" s="34">
        <f>'Rådata-K'!N54</f>
        <v>5.3737522686025407</v>
      </c>
      <c r="E55" s="34">
        <f>'Rådata-K'!O54</f>
        <v>-3.4148827726809383E-2</v>
      </c>
      <c r="F55" s="34">
        <f>'Rådata-K'!P54</f>
        <v>9.1556728232189979E-2</v>
      </c>
      <c r="G55" s="34">
        <f>'Rådata-K'!Q54</f>
        <v>0.21424802110817942</v>
      </c>
      <c r="H55" s="34">
        <f>'Rådata-K'!R54</f>
        <v>-3.8461538461538436E-2</v>
      </c>
      <c r="I55" s="34">
        <f>'Rådata-K'!S54</f>
        <v>0.82090951711204874</v>
      </c>
      <c r="J55" s="22">
        <f>'Rådata-K'!K54</f>
        <v>333200</v>
      </c>
      <c r="K55" s="22">
        <f>Tabell2[[#This Row],[NIBR11]]</f>
        <v>5</v>
      </c>
      <c r="L55" s="32">
        <f>IF(Tabell2[[#This Row],[ReisetidOslo]]&lt;=C$434,C$434,IF(Tabell2[[#This Row],[ReisetidOslo]]&gt;=C$435,C$435,Tabell2[[#This Row],[ReisetidOslo]]))</f>
        <v>108.283333333</v>
      </c>
      <c r="M55" s="32">
        <f>IF(Tabell2[[#This Row],[Beftettotal]]&lt;=D$434,D$434,IF(Tabell2[[#This Row],[Beftettotal]]&gt;=D$435,D$435,Tabell2[[#This Row],[Beftettotal]]))</f>
        <v>5.3737522686025407</v>
      </c>
      <c r="N55" s="34">
        <f>IF(Tabell2[[#This Row],[Befvekst10]]&lt;=E$434,E$434,IF(Tabell2[[#This Row],[Befvekst10]]&gt;=E$435,E$435,Tabell2[[#This Row],[Befvekst10]]))</f>
        <v>-3.4148827726809383E-2</v>
      </c>
      <c r="O55" s="34">
        <f>IF(Tabell2[[#This Row],[Kvinneandel]]&lt;=F$434,F$434,IF(Tabell2[[#This Row],[Kvinneandel]]&gt;=F$435,F$435,Tabell2[[#This Row],[Kvinneandel]]))</f>
        <v>9.1556728232189979E-2</v>
      </c>
      <c r="P55" s="34">
        <f>IF(Tabell2[[#This Row],[Eldreandel]]&lt;=G$434,G$434,IF(Tabell2[[#This Row],[Eldreandel]]&gt;=G$435,G$435,Tabell2[[#This Row],[Eldreandel]]))</f>
        <v>0.21424802110817942</v>
      </c>
      <c r="Q55" s="34">
        <f>IF(Tabell2[[#This Row],[Sysselsettingsvekst10]]&lt;=H$434,H$434,IF(Tabell2[[#This Row],[Sysselsettingsvekst10]]&gt;=H$435,H$435,Tabell2[[#This Row],[Sysselsettingsvekst10]]))</f>
        <v>-3.8461538461538436E-2</v>
      </c>
      <c r="R55" s="34">
        <f>IF(Tabell2[[#This Row],[Yrkesaktivandel]]&lt;=I$434,I$434,IF(Tabell2[[#This Row],[Yrkesaktivandel]]&gt;=I$435,I$435,Tabell2[[#This Row],[Yrkesaktivandel]]))</f>
        <v>0.83197552842263423</v>
      </c>
      <c r="S55" s="22">
        <f>IF(Tabell2[[#This Row],[Inntekt]]&lt;=J$434,J$434,IF(Tabell2[[#This Row],[Inntekt]]&gt;=J$435,J$435,Tabell2[[#This Row],[Inntekt]]))</f>
        <v>333200</v>
      </c>
      <c r="T55" s="22">
        <f>IF(Tabell2[[#This Row],[NIBR11-T]]&lt;=K$437,100,IF(Tabell2[[#This Row],[NIBR11-T]]&gt;=K$436,0,100*(K$436-Tabell2[[#This Row],[NIBR11-T]])/K$439))</f>
        <v>60</v>
      </c>
      <c r="U55" s="7">
        <f>IF(Tabell2[[#This Row],[ReisetidOslo-T]]&lt;=L$437,100,IF(Tabell2[[#This Row],[ReisetidOslo-T]]&gt;=L$436,0,100*(L$436-Tabell2[[#This Row],[ReisetidOslo-T]])/L$439))</f>
        <v>75.542230347497934</v>
      </c>
      <c r="V55" s="7">
        <f>100-(M$436-Tabell2[[#This Row],[Beftettotal-T]])*100/M$439</f>
        <v>3.1283048732721568</v>
      </c>
      <c r="W55" s="7">
        <f>100-(N$436-Tabell2[[#This Row],[Befvekst10-T]])*100/N$439</f>
        <v>16.929791528690572</v>
      </c>
      <c r="X55" s="7">
        <f>100-(O$436-Tabell2[[#This Row],[Kvinneandel-T]])*100/O$439</f>
        <v>2.8182886539090362</v>
      </c>
      <c r="Y55" s="7">
        <f>(P$436-Tabell2[[#This Row],[Eldreandel-T]])*100/P$439</f>
        <v>0.1500160309622694</v>
      </c>
      <c r="Z55" s="7">
        <f>100-(Q$436-Tabell2[[#This Row],[Sysselsettingsvekst10-T]])*100/Q$439</f>
        <v>9.3046815790632849</v>
      </c>
      <c r="AA55" s="7">
        <f>100-(R$436-Tabell2[[#This Row],[Yrkesaktivandel-T]])*100/R$439</f>
        <v>0</v>
      </c>
      <c r="AB55" s="7">
        <f>100-(S$436-Tabell2[[#This Row],[Inntekt-T]])*100/S$439</f>
        <v>1.8110053401439501</v>
      </c>
      <c r="AC55" s="55">
        <f>Tabell2[[#This Row],[NIBR11-I]]*Vekter!$B$3</f>
        <v>12</v>
      </c>
      <c r="AD55" s="55">
        <f>Tabell2[[#This Row],[ReisetidOslo-I]]*Vekter!$C$3</f>
        <v>7.5542230347497936</v>
      </c>
      <c r="AE55" s="55">
        <f>Tabell2[[#This Row],[Beftettotal-I]]*Vekter!$D$3</f>
        <v>0.31283048732721569</v>
      </c>
      <c r="AF55" s="55">
        <f>Tabell2[[#This Row],[Befvekst10-I]]*Vekter!$E$3</f>
        <v>3.3859583057381144</v>
      </c>
      <c r="AG55" s="55">
        <f>Tabell2[[#This Row],[Kvinneandel-I]]*Vekter!$F$3</f>
        <v>0.14091443269545181</v>
      </c>
      <c r="AH55" s="55">
        <f>Tabell2[[#This Row],[Eldreandel-I]]*Vekter!$G$3</f>
        <v>7.5008015481134701E-3</v>
      </c>
      <c r="AI55" s="55">
        <f>Tabell2[[#This Row],[Sysselsettingsvekst10-I]]*Vekter!$H$3</f>
        <v>0.93046815790632853</v>
      </c>
      <c r="AJ55" s="55">
        <f>Tabell2[[#This Row],[Yrkesaktivandel-I]]*Vekter!$J$3</f>
        <v>0</v>
      </c>
      <c r="AK55" s="55">
        <f>Tabell2[[#This Row],[Inntekt-I]]*Vekter!$L$3</f>
        <v>0.18110053401439502</v>
      </c>
      <c r="AL55" s="56">
        <f>SUM(Tabell2[[#This Row],[NIBR11-v]:[Inntekt-v]])</f>
        <v>24.512995753979411</v>
      </c>
    </row>
    <row r="56" spans="1:38" x14ac:dyDescent="0.25">
      <c r="A56" s="2" t="s">
        <v>53</v>
      </c>
      <c r="B56">
        <f>'Rådata-K'!M55</f>
        <v>5</v>
      </c>
      <c r="C56" s="7">
        <f>'Rådata-K'!L55</f>
        <v>95.2</v>
      </c>
      <c r="D56" s="34">
        <f>'Rådata-K'!N55</f>
        <v>16.915592867369519</v>
      </c>
      <c r="E56" s="34">
        <f>'Rådata-K'!O55</f>
        <v>0.10348121417957978</v>
      </c>
      <c r="F56" s="34">
        <f>'Rådata-K'!P55</f>
        <v>0.12493988650572281</v>
      </c>
      <c r="G56" s="34">
        <f>'Rådata-K'!Q55</f>
        <v>0.16269116091180147</v>
      </c>
      <c r="H56" s="34">
        <f>'Rådata-K'!R55</f>
        <v>0.12605696484201157</v>
      </c>
      <c r="I56" s="34">
        <f>'Rådata-K'!S55</f>
        <v>0.85507125593799482</v>
      </c>
      <c r="J56" s="22">
        <f>'Rådata-K'!K55</f>
        <v>364500</v>
      </c>
      <c r="K56" s="22">
        <f>Tabell2[[#This Row],[NIBR11]]</f>
        <v>5</v>
      </c>
      <c r="L56" s="32">
        <f>IF(Tabell2[[#This Row],[ReisetidOslo]]&lt;=C$434,C$434,IF(Tabell2[[#This Row],[ReisetidOslo]]&gt;=C$435,C$435,Tabell2[[#This Row],[ReisetidOslo]]))</f>
        <v>95.2</v>
      </c>
      <c r="M56" s="32">
        <f>IF(Tabell2[[#This Row],[Beftettotal]]&lt;=D$434,D$434,IF(Tabell2[[#This Row],[Beftettotal]]&gt;=D$435,D$435,Tabell2[[#This Row],[Beftettotal]]))</f>
        <v>16.915592867369519</v>
      </c>
      <c r="N56" s="34">
        <f>IF(Tabell2[[#This Row],[Befvekst10]]&lt;=E$434,E$434,IF(Tabell2[[#This Row],[Befvekst10]]&gt;=E$435,E$435,Tabell2[[#This Row],[Befvekst10]]))</f>
        <v>0.10348121417957978</v>
      </c>
      <c r="O56" s="34">
        <f>IF(Tabell2[[#This Row],[Kvinneandel]]&lt;=F$434,F$434,IF(Tabell2[[#This Row],[Kvinneandel]]&gt;=F$435,F$435,Tabell2[[#This Row],[Kvinneandel]]))</f>
        <v>0.12493988650572281</v>
      </c>
      <c r="P56" s="34">
        <f>IF(Tabell2[[#This Row],[Eldreandel]]&lt;=G$434,G$434,IF(Tabell2[[#This Row],[Eldreandel]]&gt;=G$435,G$435,Tabell2[[#This Row],[Eldreandel]]))</f>
        <v>0.16269116091180147</v>
      </c>
      <c r="Q56" s="34">
        <f>IF(Tabell2[[#This Row],[Sysselsettingsvekst10]]&lt;=H$434,H$434,IF(Tabell2[[#This Row],[Sysselsettingsvekst10]]&gt;=H$435,H$435,Tabell2[[#This Row],[Sysselsettingsvekst10]]))</f>
        <v>0.12605696484201157</v>
      </c>
      <c r="R56" s="34">
        <f>IF(Tabell2[[#This Row],[Yrkesaktivandel]]&lt;=I$434,I$434,IF(Tabell2[[#This Row],[Yrkesaktivandel]]&gt;=I$435,I$435,Tabell2[[#This Row],[Yrkesaktivandel]]))</f>
        <v>0.85507125593799482</v>
      </c>
      <c r="S56" s="22">
        <f>IF(Tabell2[[#This Row],[Inntekt]]&lt;=J$434,J$434,IF(Tabell2[[#This Row],[Inntekt]]&gt;=J$435,J$435,Tabell2[[#This Row],[Inntekt]]))</f>
        <v>364500</v>
      </c>
      <c r="T56" s="22">
        <f>IF(Tabell2[[#This Row],[NIBR11-T]]&lt;=K$437,100,IF(Tabell2[[#This Row],[NIBR11-T]]&gt;=K$436,0,100*(K$436-Tabell2[[#This Row],[NIBR11-T]])/K$439))</f>
        <v>60</v>
      </c>
      <c r="U56" s="7">
        <f>IF(Tabell2[[#This Row],[ReisetidOslo-T]]&lt;=L$437,100,IF(Tabell2[[#This Row],[ReisetidOslo-T]]&gt;=L$436,0,100*(L$436-Tabell2[[#This Row],[ReisetidOslo-T]])/L$439))</f>
        <v>81.282632541135385</v>
      </c>
      <c r="V56" s="7">
        <f>100-(M$436-Tabell2[[#This Row],[Beftettotal-T]])*100/M$439</f>
        <v>12.056735503829813</v>
      </c>
      <c r="W56" s="7">
        <f>100-(N$436-Tabell2[[#This Row],[Befvekst10-T]])*100/N$439</f>
        <v>72.344677357688539</v>
      </c>
      <c r="X56" s="7">
        <f>100-(O$436-Tabell2[[#This Row],[Kvinneandel-T]])*100/O$439</f>
        <v>91.032665778595401</v>
      </c>
      <c r="Y56" s="7">
        <f>(P$436-Tabell2[[#This Row],[Eldreandel-T]])*100/P$439</f>
        <v>56.643545527718786</v>
      </c>
      <c r="Z56" s="7">
        <f>100-(Q$436-Tabell2[[#This Row],[Sysselsettingsvekst10-T]])*100/Q$439</f>
        <v>58.255665887543245</v>
      </c>
      <c r="AA56" s="7">
        <f>100-(R$436-Tabell2[[#This Row],[Yrkesaktivandel-T]])*100/R$439</f>
        <v>17.758114317276934</v>
      </c>
      <c r="AB56" s="7">
        <f>100-(S$436-Tabell2[[#This Row],[Inntekt-T]])*100/S$439</f>
        <v>38.14720222892965</v>
      </c>
      <c r="AC56" s="55">
        <f>Tabell2[[#This Row],[NIBR11-I]]*Vekter!$B$3</f>
        <v>12</v>
      </c>
      <c r="AD56" s="55">
        <f>Tabell2[[#This Row],[ReisetidOslo-I]]*Vekter!$C$3</f>
        <v>8.1282632541135396</v>
      </c>
      <c r="AE56" s="55">
        <f>Tabell2[[#This Row],[Beftettotal-I]]*Vekter!$D$3</f>
        <v>1.2056735503829814</v>
      </c>
      <c r="AF56" s="55">
        <f>Tabell2[[#This Row],[Befvekst10-I]]*Vekter!$E$3</f>
        <v>14.468935471537709</v>
      </c>
      <c r="AG56" s="55">
        <f>Tabell2[[#This Row],[Kvinneandel-I]]*Vekter!$F$3</f>
        <v>4.5516332889297706</v>
      </c>
      <c r="AH56" s="55">
        <f>Tabell2[[#This Row],[Eldreandel-I]]*Vekter!$G$3</f>
        <v>2.8321772763859396</v>
      </c>
      <c r="AI56" s="55">
        <f>Tabell2[[#This Row],[Sysselsettingsvekst10-I]]*Vekter!$H$3</f>
        <v>5.8255665887543246</v>
      </c>
      <c r="AJ56" s="55">
        <f>Tabell2[[#This Row],[Yrkesaktivandel-I]]*Vekter!$J$3</f>
        <v>1.7758114317276936</v>
      </c>
      <c r="AK56" s="55">
        <f>Tabell2[[#This Row],[Inntekt-I]]*Vekter!$L$3</f>
        <v>3.8147202228929653</v>
      </c>
      <c r="AL56" s="56">
        <f>SUM(Tabell2[[#This Row],[NIBR11-v]:[Inntekt-v]])</f>
        <v>54.602781084724938</v>
      </c>
    </row>
    <row r="57" spans="1:38" x14ac:dyDescent="0.25">
      <c r="A57" s="2" t="s">
        <v>54</v>
      </c>
      <c r="B57">
        <f>'Rådata-K'!M56</f>
        <v>9</v>
      </c>
      <c r="C57" s="7">
        <f>'Rådata-K'!L56</f>
        <v>148.15</v>
      </c>
      <c r="D57" s="34">
        <f>'Rådata-K'!N56</f>
        <v>2.1792281637622457</v>
      </c>
      <c r="E57" s="34">
        <f>'Rådata-K'!O56</f>
        <v>-4.548096483580355E-2</v>
      </c>
      <c r="F57" s="34">
        <f>'Rådata-K'!P56</f>
        <v>9.453493682447861E-2</v>
      </c>
      <c r="G57" s="34">
        <f>'Rådata-K'!Q56</f>
        <v>0.21525346323641345</v>
      </c>
      <c r="H57" s="34">
        <f>'Rådata-K'!R56</f>
        <v>-2.5550035486160416E-2</v>
      </c>
      <c r="I57" s="34">
        <f>'Rådata-K'!S56</f>
        <v>0.83209876543209882</v>
      </c>
      <c r="J57" s="22">
        <f>'Rådata-K'!K56</f>
        <v>319100</v>
      </c>
      <c r="K57" s="22">
        <f>Tabell2[[#This Row],[NIBR11]]</f>
        <v>9</v>
      </c>
      <c r="L57" s="32">
        <f>IF(Tabell2[[#This Row],[ReisetidOslo]]&lt;=C$434,C$434,IF(Tabell2[[#This Row],[ReisetidOslo]]&gt;=C$435,C$435,Tabell2[[#This Row],[ReisetidOslo]]))</f>
        <v>148.15</v>
      </c>
      <c r="M57" s="32">
        <f>IF(Tabell2[[#This Row],[Beftettotal]]&lt;=D$434,D$434,IF(Tabell2[[#This Row],[Beftettotal]]&gt;=D$435,D$435,Tabell2[[#This Row],[Beftettotal]]))</f>
        <v>2.1792281637622457</v>
      </c>
      <c r="N57" s="34">
        <f>IF(Tabell2[[#This Row],[Befvekst10]]&lt;=E$434,E$434,IF(Tabell2[[#This Row],[Befvekst10]]&gt;=E$435,E$435,Tabell2[[#This Row],[Befvekst10]]))</f>
        <v>-4.548096483580355E-2</v>
      </c>
      <c r="O57" s="34">
        <f>IF(Tabell2[[#This Row],[Kvinneandel]]&lt;=F$434,F$434,IF(Tabell2[[#This Row],[Kvinneandel]]&gt;=F$435,F$435,Tabell2[[#This Row],[Kvinneandel]]))</f>
        <v>9.453493682447861E-2</v>
      </c>
      <c r="P57" s="34">
        <f>IF(Tabell2[[#This Row],[Eldreandel]]&lt;=G$434,G$434,IF(Tabell2[[#This Row],[Eldreandel]]&gt;=G$435,G$435,Tabell2[[#This Row],[Eldreandel]]))</f>
        <v>0.21438492803547596</v>
      </c>
      <c r="Q57" s="34">
        <f>IF(Tabell2[[#This Row],[Sysselsettingsvekst10]]&lt;=H$434,H$434,IF(Tabell2[[#This Row],[Sysselsettingsvekst10]]&gt;=H$435,H$435,Tabell2[[#This Row],[Sysselsettingsvekst10]]))</f>
        <v>-2.5550035486160416E-2</v>
      </c>
      <c r="R57" s="34">
        <f>IF(Tabell2[[#This Row],[Yrkesaktivandel]]&lt;=I$434,I$434,IF(Tabell2[[#This Row],[Yrkesaktivandel]]&gt;=I$435,I$435,Tabell2[[#This Row],[Yrkesaktivandel]]))</f>
        <v>0.83209876543209882</v>
      </c>
      <c r="S57" s="22">
        <f>IF(Tabell2[[#This Row],[Inntekt]]&lt;=J$434,J$434,IF(Tabell2[[#This Row],[Inntekt]]&gt;=J$435,J$435,Tabell2[[#This Row],[Inntekt]]))</f>
        <v>331640</v>
      </c>
      <c r="T57" s="22">
        <f>IF(Tabell2[[#This Row],[NIBR11-T]]&lt;=K$437,100,IF(Tabell2[[#This Row],[NIBR11-T]]&gt;=K$436,0,100*(K$436-Tabell2[[#This Row],[NIBR11-T]])/K$439))</f>
        <v>20</v>
      </c>
      <c r="U57" s="7">
        <f>IF(Tabell2[[#This Row],[ReisetidOslo-T]]&lt;=L$437,100,IF(Tabell2[[#This Row],[ReisetidOslo-T]]&gt;=L$436,0,100*(L$436-Tabell2[[#This Row],[ReisetidOslo-T]])/L$439))</f>
        <v>58.050457038395514</v>
      </c>
      <c r="V57" s="7">
        <f>100-(M$436-Tabell2[[#This Row],[Beftettotal-T]])*100/M$439</f>
        <v>0.65711437088748426</v>
      </c>
      <c r="W57" s="7">
        <f>100-(N$436-Tabell2[[#This Row],[Befvekst10-T]])*100/N$439</f>
        <v>12.367058891287286</v>
      </c>
      <c r="X57" s="7">
        <f>100-(O$436-Tabell2[[#This Row],[Kvinneandel-T]])*100/O$439</f>
        <v>10.688149670756658</v>
      </c>
      <c r="Y57" s="7">
        <f>(P$436-Tabell2[[#This Row],[Eldreandel-T]])*100/P$439</f>
        <v>0</v>
      </c>
      <c r="Z57" s="7">
        <f>100-(Q$436-Tabell2[[#This Row],[Sysselsettingsvekst10-T]])*100/Q$439</f>
        <v>13.146381855052752</v>
      </c>
      <c r="AA57" s="7">
        <f>100-(R$436-Tabell2[[#This Row],[Yrkesaktivandel-T]])*100/R$439</f>
        <v>9.4755919714415882E-2</v>
      </c>
      <c r="AB57" s="7">
        <f>100-(S$436-Tabell2[[#This Row],[Inntekt-T]])*100/S$439</f>
        <v>0</v>
      </c>
      <c r="AC57" s="55">
        <f>Tabell2[[#This Row],[NIBR11-I]]*Vekter!$B$3</f>
        <v>4</v>
      </c>
      <c r="AD57" s="55">
        <f>Tabell2[[#This Row],[ReisetidOslo-I]]*Vekter!$C$3</f>
        <v>5.8050457038395518</v>
      </c>
      <c r="AE57" s="55">
        <f>Tabell2[[#This Row],[Beftettotal-I]]*Vekter!$D$3</f>
        <v>6.5711437088748423E-2</v>
      </c>
      <c r="AF57" s="55">
        <f>Tabell2[[#This Row],[Befvekst10-I]]*Vekter!$E$3</f>
        <v>2.4734117782574572</v>
      </c>
      <c r="AG57" s="55">
        <f>Tabell2[[#This Row],[Kvinneandel-I]]*Vekter!$F$3</f>
        <v>0.53440748353783296</v>
      </c>
      <c r="AH57" s="55">
        <f>Tabell2[[#This Row],[Eldreandel-I]]*Vekter!$G$3</f>
        <v>0</v>
      </c>
      <c r="AI57" s="55">
        <f>Tabell2[[#This Row],[Sysselsettingsvekst10-I]]*Vekter!$H$3</f>
        <v>1.3146381855052753</v>
      </c>
      <c r="AJ57" s="55">
        <f>Tabell2[[#This Row],[Yrkesaktivandel-I]]*Vekter!$J$3</f>
        <v>9.4755919714415889E-3</v>
      </c>
      <c r="AK57" s="55">
        <f>Tabell2[[#This Row],[Inntekt-I]]*Vekter!$L$3</f>
        <v>0</v>
      </c>
      <c r="AL57" s="56">
        <f>SUM(Tabell2[[#This Row],[NIBR11-v]:[Inntekt-v]])</f>
        <v>14.202690180200307</v>
      </c>
    </row>
    <row r="58" spans="1:38" x14ac:dyDescent="0.25">
      <c r="A58" s="2" t="s">
        <v>55</v>
      </c>
      <c r="B58">
        <f>'Rådata-K'!M57</f>
        <v>5</v>
      </c>
      <c r="C58" s="7">
        <f>'Rådata-K'!L57</f>
        <v>118.916666667</v>
      </c>
      <c r="D58" s="34">
        <f>'Rådata-K'!N57</f>
        <v>3.3255716759209504</v>
      </c>
      <c r="E58" s="34">
        <f>'Rådata-K'!O57</f>
        <v>1.3187812642110108E-2</v>
      </c>
      <c r="F58" s="34">
        <f>'Rådata-K'!P57</f>
        <v>0.10704667863554758</v>
      </c>
      <c r="G58" s="34">
        <f>'Rådata-K'!Q57</f>
        <v>0.17728904847396768</v>
      </c>
      <c r="H58" s="34">
        <f>'Rådata-K'!R57</f>
        <v>4.0961223375204803E-2</v>
      </c>
      <c r="I58" s="34">
        <f>'Rådata-K'!S57</f>
        <v>0.83458646616541354</v>
      </c>
      <c r="J58" s="22">
        <f>'Rådata-K'!K57</f>
        <v>345200</v>
      </c>
      <c r="K58" s="22">
        <f>Tabell2[[#This Row],[NIBR11]]</f>
        <v>5</v>
      </c>
      <c r="L58" s="32">
        <f>IF(Tabell2[[#This Row],[ReisetidOslo]]&lt;=C$434,C$434,IF(Tabell2[[#This Row],[ReisetidOslo]]&gt;=C$435,C$435,Tabell2[[#This Row],[ReisetidOslo]]))</f>
        <v>118.916666667</v>
      </c>
      <c r="M58" s="32">
        <f>IF(Tabell2[[#This Row],[Beftettotal]]&lt;=D$434,D$434,IF(Tabell2[[#This Row],[Beftettotal]]&gt;=D$435,D$435,Tabell2[[#This Row],[Beftettotal]]))</f>
        <v>3.3255716759209504</v>
      </c>
      <c r="N58" s="34">
        <f>IF(Tabell2[[#This Row],[Befvekst10]]&lt;=E$434,E$434,IF(Tabell2[[#This Row],[Befvekst10]]&gt;=E$435,E$435,Tabell2[[#This Row],[Befvekst10]]))</f>
        <v>1.3187812642110108E-2</v>
      </c>
      <c r="O58" s="34">
        <f>IF(Tabell2[[#This Row],[Kvinneandel]]&lt;=F$434,F$434,IF(Tabell2[[#This Row],[Kvinneandel]]&gt;=F$435,F$435,Tabell2[[#This Row],[Kvinneandel]]))</f>
        <v>0.10704667863554758</v>
      </c>
      <c r="P58" s="34">
        <f>IF(Tabell2[[#This Row],[Eldreandel]]&lt;=G$434,G$434,IF(Tabell2[[#This Row],[Eldreandel]]&gt;=G$435,G$435,Tabell2[[#This Row],[Eldreandel]]))</f>
        <v>0.17728904847396768</v>
      </c>
      <c r="Q58" s="34">
        <f>IF(Tabell2[[#This Row],[Sysselsettingsvekst10]]&lt;=H$434,H$434,IF(Tabell2[[#This Row],[Sysselsettingsvekst10]]&gt;=H$435,H$435,Tabell2[[#This Row],[Sysselsettingsvekst10]]))</f>
        <v>4.0961223375204803E-2</v>
      </c>
      <c r="R58" s="34">
        <f>IF(Tabell2[[#This Row],[Yrkesaktivandel]]&lt;=I$434,I$434,IF(Tabell2[[#This Row],[Yrkesaktivandel]]&gt;=I$435,I$435,Tabell2[[#This Row],[Yrkesaktivandel]]))</f>
        <v>0.83458646616541354</v>
      </c>
      <c r="S58" s="22">
        <f>IF(Tabell2[[#This Row],[Inntekt]]&lt;=J$434,J$434,IF(Tabell2[[#This Row],[Inntekt]]&gt;=J$435,J$435,Tabell2[[#This Row],[Inntekt]]))</f>
        <v>345200</v>
      </c>
      <c r="T58" s="22">
        <f>IF(Tabell2[[#This Row],[NIBR11-T]]&lt;=K$437,100,IF(Tabell2[[#This Row],[NIBR11-T]]&gt;=K$436,0,100*(K$436-Tabell2[[#This Row],[NIBR11-T]])/K$439))</f>
        <v>60</v>
      </c>
      <c r="U58" s="7">
        <f>IF(Tabell2[[#This Row],[ReisetidOslo-T]]&lt;=L$437,100,IF(Tabell2[[#This Row],[ReisetidOslo-T]]&gt;=L$436,0,100*(L$436-Tabell2[[#This Row],[ReisetidOslo-T]])/L$439))</f>
        <v>70.876782449582493</v>
      </c>
      <c r="V58" s="7">
        <f>100-(M$436-Tabell2[[#This Row],[Beftettotal-T]])*100/M$439</f>
        <v>1.5438922153321784</v>
      </c>
      <c r="W58" s="7">
        <f>100-(N$436-Tabell2[[#This Row],[Befvekst10-T]])*100/N$439</f>
        <v>35.989253294721138</v>
      </c>
      <c r="X58" s="7">
        <f>100-(O$436-Tabell2[[#This Row],[Kvinneandel-T]])*100/O$439</f>
        <v>43.750195555234981</v>
      </c>
      <c r="Y58" s="7">
        <f>(P$436-Tabell2[[#This Row],[Eldreandel-T]])*100/P$439</f>
        <v>40.647881935281696</v>
      </c>
      <c r="Z58" s="7">
        <f>100-(Q$436-Tabell2[[#This Row],[Sysselsettingsvekst10-T]])*100/Q$439</f>
        <v>32.936201987641354</v>
      </c>
      <c r="AA58" s="7">
        <f>100-(R$436-Tabell2[[#This Row],[Yrkesaktivandel-T]])*100/R$439</f>
        <v>2.0075284868481162</v>
      </c>
      <c r="AB58" s="7">
        <f>100-(S$436-Tabell2[[#This Row],[Inntekt-T]])*100/S$439</f>
        <v>15.741815648943586</v>
      </c>
      <c r="AC58" s="55">
        <f>Tabell2[[#This Row],[NIBR11-I]]*Vekter!$B$3</f>
        <v>12</v>
      </c>
      <c r="AD58" s="55">
        <f>Tabell2[[#This Row],[ReisetidOslo-I]]*Vekter!$C$3</f>
        <v>7.0876782449582496</v>
      </c>
      <c r="AE58" s="55">
        <f>Tabell2[[#This Row],[Beftettotal-I]]*Vekter!$D$3</f>
        <v>0.15438922153321785</v>
      </c>
      <c r="AF58" s="55">
        <f>Tabell2[[#This Row],[Befvekst10-I]]*Vekter!$E$3</f>
        <v>7.1978506589442279</v>
      </c>
      <c r="AG58" s="55">
        <f>Tabell2[[#This Row],[Kvinneandel-I]]*Vekter!$F$3</f>
        <v>2.1875097777617492</v>
      </c>
      <c r="AH58" s="55">
        <f>Tabell2[[#This Row],[Eldreandel-I]]*Vekter!$G$3</f>
        <v>2.0323940967640848</v>
      </c>
      <c r="AI58" s="55">
        <f>Tabell2[[#This Row],[Sysselsettingsvekst10-I]]*Vekter!$H$3</f>
        <v>3.2936201987641356</v>
      </c>
      <c r="AJ58" s="55">
        <f>Tabell2[[#This Row],[Yrkesaktivandel-I]]*Vekter!$J$3</f>
        <v>0.20075284868481164</v>
      </c>
      <c r="AK58" s="55">
        <f>Tabell2[[#This Row],[Inntekt-I]]*Vekter!$L$3</f>
        <v>1.5741815648943587</v>
      </c>
      <c r="AL58" s="56">
        <f>SUM(Tabell2[[#This Row],[NIBR11-v]:[Inntekt-v]])</f>
        <v>35.728376612304842</v>
      </c>
    </row>
    <row r="59" spans="1:38" x14ac:dyDescent="0.25">
      <c r="A59" s="2" t="s">
        <v>56</v>
      </c>
      <c r="B59">
        <f>'Rådata-K'!M58</f>
        <v>11</v>
      </c>
      <c r="C59" s="7">
        <f>'Rådata-K'!L58</f>
        <v>162.44999999999999</v>
      </c>
      <c r="D59" s="34">
        <f>'Rådata-K'!N58</f>
        <v>1.209258515368526</v>
      </c>
      <c r="E59" s="34">
        <f>'Rådata-K'!O58</f>
        <v>-7.5211864406779627E-2</v>
      </c>
      <c r="F59" s="34">
        <f>'Rådata-K'!P58</f>
        <v>9.4692630775105008E-2</v>
      </c>
      <c r="G59" s="34">
        <f>'Rådata-K'!Q58</f>
        <v>0.21420389461626574</v>
      </c>
      <c r="H59" s="34">
        <f>'Rådata-K'!R58</f>
        <v>-3.707136237256714E-2</v>
      </c>
      <c r="I59" s="34">
        <f>'Rådata-K'!S58</f>
        <v>0.76917989417989419</v>
      </c>
      <c r="J59" s="22">
        <f>'Rådata-K'!K58</f>
        <v>305800</v>
      </c>
      <c r="K59" s="22">
        <f>Tabell2[[#This Row],[NIBR11]]</f>
        <v>11</v>
      </c>
      <c r="L59" s="32">
        <f>IF(Tabell2[[#This Row],[ReisetidOslo]]&lt;=C$434,C$434,IF(Tabell2[[#This Row],[ReisetidOslo]]&gt;=C$435,C$435,Tabell2[[#This Row],[ReisetidOslo]]))</f>
        <v>162.44999999999999</v>
      </c>
      <c r="M59" s="32">
        <f>IF(Tabell2[[#This Row],[Beftettotal]]&lt;=D$434,D$434,IF(Tabell2[[#This Row],[Beftettotal]]&gt;=D$435,D$435,Tabell2[[#This Row],[Beftettotal]]))</f>
        <v>1.3297721240876861</v>
      </c>
      <c r="N59" s="34">
        <f>IF(Tabell2[[#This Row],[Befvekst10]]&lt;=E$434,E$434,IF(Tabell2[[#This Row],[Befvekst10]]&gt;=E$435,E$435,Tabell2[[#This Row],[Befvekst10]]))</f>
        <v>-7.5211864406779627E-2</v>
      </c>
      <c r="O59" s="34">
        <f>IF(Tabell2[[#This Row],[Kvinneandel]]&lt;=F$434,F$434,IF(Tabell2[[#This Row],[Kvinneandel]]&gt;=F$435,F$435,Tabell2[[#This Row],[Kvinneandel]]))</f>
        <v>9.4692630775105008E-2</v>
      </c>
      <c r="P59" s="34">
        <f>IF(Tabell2[[#This Row],[Eldreandel]]&lt;=G$434,G$434,IF(Tabell2[[#This Row],[Eldreandel]]&gt;=G$435,G$435,Tabell2[[#This Row],[Eldreandel]]))</f>
        <v>0.21420389461626574</v>
      </c>
      <c r="Q59" s="34">
        <f>IF(Tabell2[[#This Row],[Sysselsettingsvekst10]]&lt;=H$434,H$434,IF(Tabell2[[#This Row],[Sysselsettingsvekst10]]&gt;=H$435,H$435,Tabell2[[#This Row],[Sysselsettingsvekst10]]))</f>
        <v>-3.707136237256714E-2</v>
      </c>
      <c r="R59" s="34">
        <f>IF(Tabell2[[#This Row],[Yrkesaktivandel]]&lt;=I$434,I$434,IF(Tabell2[[#This Row],[Yrkesaktivandel]]&gt;=I$435,I$435,Tabell2[[#This Row],[Yrkesaktivandel]]))</f>
        <v>0.83197552842263423</v>
      </c>
      <c r="S59" s="22">
        <f>IF(Tabell2[[#This Row],[Inntekt]]&lt;=J$434,J$434,IF(Tabell2[[#This Row],[Inntekt]]&gt;=J$435,J$435,Tabell2[[#This Row],[Inntekt]]))</f>
        <v>331640</v>
      </c>
      <c r="T59" s="22">
        <f>IF(Tabell2[[#This Row],[NIBR11-T]]&lt;=K$437,100,IF(Tabell2[[#This Row],[NIBR11-T]]&gt;=K$436,0,100*(K$436-Tabell2[[#This Row],[NIBR11-T]])/K$439))</f>
        <v>0</v>
      </c>
      <c r="U59" s="7">
        <f>IF(Tabell2[[#This Row],[ReisetidOslo-T]]&lt;=L$437,100,IF(Tabell2[[#This Row],[ReisetidOslo-T]]&gt;=L$436,0,100*(L$436-Tabell2[[#This Row],[ReisetidOslo-T]])/L$439))</f>
        <v>51.776234003661244</v>
      </c>
      <c r="V59" s="7">
        <f>100-(M$436-Tabell2[[#This Row],[Beftettotal-T]])*100/M$439</f>
        <v>0</v>
      </c>
      <c r="W59" s="7">
        <f>100-(N$436-Tabell2[[#This Row],[Befvekst10-T]])*100/N$439</f>
        <v>0.3963119344591064</v>
      </c>
      <c r="X59" s="7">
        <f>100-(O$436-Tabell2[[#This Row],[Kvinneandel-T]])*100/O$439</f>
        <v>11.104853013108425</v>
      </c>
      <c r="Y59" s="7">
        <f>(P$436-Tabell2[[#This Row],[Eldreandel-T]])*100/P$439</f>
        <v>0.19836772001041492</v>
      </c>
      <c r="Z59" s="7">
        <f>100-(Q$436-Tabell2[[#This Row],[Sysselsettingsvekst10-T]])*100/Q$439</f>
        <v>9.7183158302313615</v>
      </c>
      <c r="AA59" s="7">
        <f>100-(R$436-Tabell2[[#This Row],[Yrkesaktivandel-T]])*100/R$439</f>
        <v>0</v>
      </c>
      <c r="AB59" s="7">
        <f>100-(S$436-Tabell2[[#This Row],[Inntekt-T]])*100/S$439</f>
        <v>0</v>
      </c>
      <c r="AC59" s="55">
        <f>Tabell2[[#This Row],[NIBR11-I]]*Vekter!$B$3</f>
        <v>0</v>
      </c>
      <c r="AD59" s="55">
        <f>Tabell2[[#This Row],[ReisetidOslo-I]]*Vekter!$C$3</f>
        <v>5.1776234003661248</v>
      </c>
      <c r="AE59" s="55">
        <f>Tabell2[[#This Row],[Beftettotal-I]]*Vekter!$D$3</f>
        <v>0</v>
      </c>
      <c r="AF59" s="55">
        <f>Tabell2[[#This Row],[Befvekst10-I]]*Vekter!$E$3</f>
        <v>7.9262386891821288E-2</v>
      </c>
      <c r="AG59" s="55">
        <f>Tabell2[[#This Row],[Kvinneandel-I]]*Vekter!$F$3</f>
        <v>0.55524265065542122</v>
      </c>
      <c r="AH59" s="55">
        <f>Tabell2[[#This Row],[Eldreandel-I]]*Vekter!$G$3</f>
        <v>9.9183860005207462E-3</v>
      </c>
      <c r="AI59" s="55">
        <f>Tabell2[[#This Row],[Sysselsettingsvekst10-I]]*Vekter!$H$3</f>
        <v>0.97183158302313621</v>
      </c>
      <c r="AJ59" s="55">
        <f>Tabell2[[#This Row],[Yrkesaktivandel-I]]*Vekter!$J$3</f>
        <v>0</v>
      </c>
      <c r="AK59" s="55">
        <f>Tabell2[[#This Row],[Inntekt-I]]*Vekter!$L$3</f>
        <v>0</v>
      </c>
      <c r="AL59" s="56">
        <f>SUM(Tabell2[[#This Row],[NIBR11-v]:[Inntekt-v]])</f>
        <v>6.7938784069370239</v>
      </c>
    </row>
    <row r="60" spans="1:38" x14ac:dyDescent="0.25">
      <c r="A60" s="2" t="s">
        <v>57</v>
      </c>
      <c r="B60">
        <f>'Rådata-K'!M59</f>
        <v>8</v>
      </c>
      <c r="C60" s="7">
        <f>'Rådata-K'!L59</f>
        <v>193.58333333300001</v>
      </c>
      <c r="D60" s="34">
        <f>'Rådata-K'!N59</f>
        <v>0.59285678341384862</v>
      </c>
      <c r="E60" s="34">
        <f>'Rådata-K'!O59</f>
        <v>-0.10451306413301664</v>
      </c>
      <c r="F60" s="34">
        <f>'Rådata-K'!P59</f>
        <v>7.8514588859416451E-2</v>
      </c>
      <c r="G60" s="34">
        <f>'Rådata-K'!Q59</f>
        <v>0.24668435013262599</v>
      </c>
      <c r="H60" s="34">
        <f>'Rådata-K'!R59</f>
        <v>-9.3385214007782102E-2</v>
      </c>
      <c r="I60" s="34">
        <f>'Rådata-K'!S59</f>
        <v>0.91983967935871747</v>
      </c>
      <c r="J60" s="22">
        <f>'Rådata-K'!K59</f>
        <v>324300</v>
      </c>
      <c r="K60" s="22">
        <f>Tabell2[[#This Row],[NIBR11]]</f>
        <v>8</v>
      </c>
      <c r="L60" s="32">
        <f>IF(Tabell2[[#This Row],[ReisetidOslo]]&lt;=C$434,C$434,IF(Tabell2[[#This Row],[ReisetidOslo]]&gt;=C$435,C$435,Tabell2[[#This Row],[ReisetidOslo]]))</f>
        <v>193.58333333300001</v>
      </c>
      <c r="M60" s="32">
        <f>IF(Tabell2[[#This Row],[Beftettotal]]&lt;=D$434,D$434,IF(Tabell2[[#This Row],[Beftettotal]]&gt;=D$435,D$435,Tabell2[[#This Row],[Beftettotal]]))</f>
        <v>1.3297721240876861</v>
      </c>
      <c r="N60" s="34">
        <f>IF(Tabell2[[#This Row],[Befvekst10]]&lt;=E$434,E$434,IF(Tabell2[[#This Row],[Befvekst10]]&gt;=E$435,E$435,Tabell2[[#This Row],[Befvekst10]]))</f>
        <v>-7.6196156394963507E-2</v>
      </c>
      <c r="O60" s="34">
        <f>IF(Tabell2[[#This Row],[Kvinneandel]]&lt;=F$434,F$434,IF(Tabell2[[#This Row],[Kvinneandel]]&gt;=F$435,F$435,Tabell2[[#This Row],[Kvinneandel]]))</f>
        <v>9.0490197137593403E-2</v>
      </c>
      <c r="P60" s="34">
        <f>IF(Tabell2[[#This Row],[Eldreandel]]&lt;=G$434,G$434,IF(Tabell2[[#This Row],[Eldreandel]]&gt;=G$435,G$435,Tabell2[[#This Row],[Eldreandel]]))</f>
        <v>0.21438492803547596</v>
      </c>
      <c r="Q60" s="34">
        <f>IF(Tabell2[[#This Row],[Sysselsettingsvekst10]]&lt;=H$434,H$434,IF(Tabell2[[#This Row],[Sysselsettingsvekst10]]&gt;=H$435,H$435,Tabell2[[#This Row],[Sysselsettingsvekst10]]))</f>
        <v>-6.9733479337269061E-2</v>
      </c>
      <c r="R60" s="34">
        <f>IF(Tabell2[[#This Row],[Yrkesaktivandel]]&lt;=I$434,I$434,IF(Tabell2[[#This Row],[Yrkesaktivandel]]&gt;=I$435,I$435,Tabell2[[#This Row],[Yrkesaktivandel]]))</f>
        <v>0.91983967935871747</v>
      </c>
      <c r="S60" s="22">
        <f>IF(Tabell2[[#This Row],[Inntekt]]&lt;=J$434,J$434,IF(Tabell2[[#This Row],[Inntekt]]&gt;=J$435,J$435,Tabell2[[#This Row],[Inntekt]]))</f>
        <v>331640</v>
      </c>
      <c r="T60" s="22">
        <f>IF(Tabell2[[#This Row],[NIBR11-T]]&lt;=K$437,100,IF(Tabell2[[#This Row],[NIBR11-T]]&gt;=K$436,0,100*(K$436-Tabell2[[#This Row],[NIBR11-T]])/K$439))</f>
        <v>30</v>
      </c>
      <c r="U60" s="7">
        <f>IF(Tabell2[[#This Row],[ReisetidOslo-T]]&lt;=L$437,100,IF(Tabell2[[#This Row],[ReisetidOslo-T]]&gt;=L$436,0,100*(L$436-Tabell2[[#This Row],[ReisetidOslo-T]])/L$439))</f>
        <v>38.116270566880189</v>
      </c>
      <c r="V60" s="7">
        <f>100-(M$436-Tabell2[[#This Row],[Beftettotal-T]])*100/M$439</f>
        <v>0</v>
      </c>
      <c r="W60" s="7">
        <f>100-(N$436-Tabell2[[#This Row],[Befvekst10-T]])*100/N$439</f>
        <v>0</v>
      </c>
      <c r="X60" s="7">
        <f>100-(O$436-Tabell2[[#This Row],[Kvinneandel-T]])*100/O$439</f>
        <v>0</v>
      </c>
      <c r="Y60" s="7">
        <f>(P$436-Tabell2[[#This Row],[Eldreandel-T]])*100/P$439</f>
        <v>0</v>
      </c>
      <c r="Z60" s="7">
        <f>100-(Q$436-Tabell2[[#This Row],[Sysselsettingsvekst10-T]])*100/Q$439</f>
        <v>0</v>
      </c>
      <c r="AA60" s="7">
        <f>100-(R$436-Tabell2[[#This Row],[Yrkesaktivandel-T]])*100/R$439</f>
        <v>67.55802066315988</v>
      </c>
      <c r="AB60" s="7">
        <f>100-(S$436-Tabell2[[#This Row],[Inntekt-T]])*100/S$439</f>
        <v>0</v>
      </c>
      <c r="AC60" s="55">
        <f>Tabell2[[#This Row],[NIBR11-I]]*Vekter!$B$3</f>
        <v>6</v>
      </c>
      <c r="AD60" s="55">
        <f>Tabell2[[#This Row],[ReisetidOslo-I]]*Vekter!$C$3</f>
        <v>3.8116270566880193</v>
      </c>
      <c r="AE60" s="55">
        <f>Tabell2[[#This Row],[Beftettotal-I]]*Vekter!$D$3</f>
        <v>0</v>
      </c>
      <c r="AF60" s="55">
        <f>Tabell2[[#This Row],[Befvekst10-I]]*Vekter!$E$3</f>
        <v>0</v>
      </c>
      <c r="AG60" s="55">
        <f>Tabell2[[#This Row],[Kvinneandel-I]]*Vekter!$F$3</f>
        <v>0</v>
      </c>
      <c r="AH60" s="55">
        <f>Tabell2[[#This Row],[Eldreandel-I]]*Vekter!$G$3</f>
        <v>0</v>
      </c>
      <c r="AI60" s="55">
        <f>Tabell2[[#This Row],[Sysselsettingsvekst10-I]]*Vekter!$H$3</f>
        <v>0</v>
      </c>
      <c r="AJ60" s="55">
        <f>Tabell2[[#This Row],[Yrkesaktivandel-I]]*Vekter!$J$3</f>
        <v>6.7558020663159883</v>
      </c>
      <c r="AK60" s="55">
        <f>Tabell2[[#This Row],[Inntekt-I]]*Vekter!$L$3</f>
        <v>0</v>
      </c>
      <c r="AL60" s="56">
        <f>SUM(Tabell2[[#This Row],[NIBR11-v]:[Inntekt-v]])</f>
        <v>16.567429123004008</v>
      </c>
    </row>
    <row r="61" spans="1:38" x14ac:dyDescent="0.25">
      <c r="A61" s="2" t="s">
        <v>58</v>
      </c>
      <c r="B61">
        <f>'Rådata-K'!M60</f>
        <v>9</v>
      </c>
      <c r="C61" s="7">
        <f>'Rådata-K'!L60</f>
        <v>188.65</v>
      </c>
      <c r="D61" s="34">
        <f>'Rådata-K'!N60</f>
        <v>0.61869750290227854</v>
      </c>
      <c r="E61" s="34">
        <f>'Rådata-K'!O60</f>
        <v>-9.339559706470979E-2</v>
      </c>
      <c r="F61" s="34">
        <f>'Rådata-K'!P60</f>
        <v>8.3149374540103016E-2</v>
      </c>
      <c r="G61" s="34">
        <f>'Rådata-K'!Q60</f>
        <v>0.23767476085356881</v>
      </c>
      <c r="H61" s="34">
        <f>'Rådata-K'!R60</f>
        <v>-0.16139240506329111</v>
      </c>
      <c r="I61" s="34">
        <f>'Rådata-K'!S60</f>
        <v>0.91230551626591228</v>
      </c>
      <c r="J61" s="22">
        <f>'Rådata-K'!K60</f>
        <v>304400</v>
      </c>
      <c r="K61" s="22">
        <f>Tabell2[[#This Row],[NIBR11]]</f>
        <v>9</v>
      </c>
      <c r="L61" s="32">
        <f>IF(Tabell2[[#This Row],[ReisetidOslo]]&lt;=C$434,C$434,IF(Tabell2[[#This Row],[ReisetidOslo]]&gt;=C$435,C$435,Tabell2[[#This Row],[ReisetidOslo]]))</f>
        <v>188.65</v>
      </c>
      <c r="M61" s="32">
        <f>IF(Tabell2[[#This Row],[Beftettotal]]&lt;=D$434,D$434,IF(Tabell2[[#This Row],[Beftettotal]]&gt;=D$435,D$435,Tabell2[[#This Row],[Beftettotal]]))</f>
        <v>1.3297721240876861</v>
      </c>
      <c r="N61" s="34">
        <f>IF(Tabell2[[#This Row],[Befvekst10]]&lt;=E$434,E$434,IF(Tabell2[[#This Row],[Befvekst10]]&gt;=E$435,E$435,Tabell2[[#This Row],[Befvekst10]]))</f>
        <v>-7.6196156394963507E-2</v>
      </c>
      <c r="O61" s="34">
        <f>IF(Tabell2[[#This Row],[Kvinneandel]]&lt;=F$434,F$434,IF(Tabell2[[#This Row],[Kvinneandel]]&gt;=F$435,F$435,Tabell2[[#This Row],[Kvinneandel]]))</f>
        <v>9.0490197137593403E-2</v>
      </c>
      <c r="P61" s="34">
        <f>IF(Tabell2[[#This Row],[Eldreandel]]&lt;=G$434,G$434,IF(Tabell2[[#This Row],[Eldreandel]]&gt;=G$435,G$435,Tabell2[[#This Row],[Eldreandel]]))</f>
        <v>0.21438492803547596</v>
      </c>
      <c r="Q61" s="34">
        <f>IF(Tabell2[[#This Row],[Sysselsettingsvekst10]]&lt;=H$434,H$434,IF(Tabell2[[#This Row],[Sysselsettingsvekst10]]&gt;=H$435,H$435,Tabell2[[#This Row],[Sysselsettingsvekst10]]))</f>
        <v>-6.9733479337269061E-2</v>
      </c>
      <c r="R61" s="34">
        <f>IF(Tabell2[[#This Row],[Yrkesaktivandel]]&lt;=I$434,I$434,IF(Tabell2[[#This Row],[Yrkesaktivandel]]&gt;=I$435,I$435,Tabell2[[#This Row],[Yrkesaktivandel]]))</f>
        <v>0.91230551626591228</v>
      </c>
      <c r="S61" s="22">
        <f>IF(Tabell2[[#This Row],[Inntekt]]&lt;=J$434,J$434,IF(Tabell2[[#This Row],[Inntekt]]&gt;=J$435,J$435,Tabell2[[#This Row],[Inntekt]]))</f>
        <v>331640</v>
      </c>
      <c r="T61" s="22">
        <f>IF(Tabell2[[#This Row],[NIBR11-T]]&lt;=K$437,100,IF(Tabell2[[#This Row],[NIBR11-T]]&gt;=K$436,0,100*(K$436-Tabell2[[#This Row],[NIBR11-T]])/K$439))</f>
        <v>20</v>
      </c>
      <c r="U61" s="7">
        <f>IF(Tabell2[[#This Row],[ReisetidOslo-T]]&lt;=L$437,100,IF(Tabell2[[#This Row],[ReisetidOslo-T]]&gt;=L$436,0,100*(L$436-Tabell2[[#This Row],[ReisetidOslo-T]])/L$439))</f>
        <v>40.280804387574662</v>
      </c>
      <c r="V61" s="7">
        <f>100-(M$436-Tabell2[[#This Row],[Beftettotal-T]])*100/M$439</f>
        <v>0</v>
      </c>
      <c r="W61" s="7">
        <f>100-(N$436-Tabell2[[#This Row],[Befvekst10-T]])*100/N$439</f>
        <v>0</v>
      </c>
      <c r="X61" s="7">
        <f>100-(O$436-Tabell2[[#This Row],[Kvinneandel-T]])*100/O$439</f>
        <v>0</v>
      </c>
      <c r="Y61" s="7">
        <f>(P$436-Tabell2[[#This Row],[Eldreandel-T]])*100/P$439</f>
        <v>0</v>
      </c>
      <c r="Z61" s="7">
        <f>100-(Q$436-Tabell2[[#This Row],[Sysselsettingsvekst10-T]])*100/Q$439</f>
        <v>0</v>
      </c>
      <c r="AA61" s="7">
        <f>100-(R$436-Tabell2[[#This Row],[Yrkesaktivandel-T]])*100/R$439</f>
        <v>61.765064827581185</v>
      </c>
      <c r="AB61" s="7">
        <f>100-(S$436-Tabell2[[#This Row],[Inntekt-T]])*100/S$439</f>
        <v>0</v>
      </c>
      <c r="AC61" s="55">
        <f>Tabell2[[#This Row],[NIBR11-I]]*Vekter!$B$3</f>
        <v>4</v>
      </c>
      <c r="AD61" s="55">
        <f>Tabell2[[#This Row],[ReisetidOslo-I]]*Vekter!$C$3</f>
        <v>4.028080438757466</v>
      </c>
      <c r="AE61" s="55">
        <f>Tabell2[[#This Row],[Beftettotal-I]]*Vekter!$D$3</f>
        <v>0</v>
      </c>
      <c r="AF61" s="55">
        <f>Tabell2[[#This Row],[Befvekst10-I]]*Vekter!$E$3</f>
        <v>0</v>
      </c>
      <c r="AG61" s="55">
        <f>Tabell2[[#This Row],[Kvinneandel-I]]*Vekter!$F$3</f>
        <v>0</v>
      </c>
      <c r="AH61" s="55">
        <f>Tabell2[[#This Row],[Eldreandel-I]]*Vekter!$G$3</f>
        <v>0</v>
      </c>
      <c r="AI61" s="55">
        <f>Tabell2[[#This Row],[Sysselsettingsvekst10-I]]*Vekter!$H$3</f>
        <v>0</v>
      </c>
      <c r="AJ61" s="55">
        <f>Tabell2[[#This Row],[Yrkesaktivandel-I]]*Vekter!$J$3</f>
        <v>6.1765064827581186</v>
      </c>
      <c r="AK61" s="55">
        <f>Tabell2[[#This Row],[Inntekt-I]]*Vekter!$L$3</f>
        <v>0</v>
      </c>
      <c r="AL61" s="56">
        <f>SUM(Tabell2[[#This Row],[NIBR11-v]:[Inntekt-v]])</f>
        <v>14.204586921515585</v>
      </c>
    </row>
    <row r="62" spans="1:38" x14ac:dyDescent="0.25">
      <c r="A62" s="2" t="s">
        <v>59</v>
      </c>
      <c r="B62">
        <f>'Rådata-K'!M61</f>
        <v>8</v>
      </c>
      <c r="C62" s="7">
        <f>'Rådata-K'!L61</f>
        <v>179.63333333330002</v>
      </c>
      <c r="D62" s="34">
        <f>'Rådata-K'!N61</f>
        <v>1.4751601207920966</v>
      </c>
      <c r="E62" s="34">
        <f>'Rådata-K'!O61</f>
        <v>-6.8616422947131661E-2</v>
      </c>
      <c r="F62" s="34">
        <f>'Rådata-K'!P61</f>
        <v>0.10084541062801933</v>
      </c>
      <c r="G62" s="34">
        <f>'Rådata-K'!Q61</f>
        <v>0.16968599033816426</v>
      </c>
      <c r="H62" s="34">
        <f>'Rådata-K'!R61</f>
        <v>-0.10249307479224379</v>
      </c>
      <c r="I62" s="34">
        <f>'Rådata-K'!S61</f>
        <v>0.92465016146393975</v>
      </c>
      <c r="J62" s="22">
        <f>'Rådata-K'!K61</f>
        <v>327500</v>
      </c>
      <c r="K62" s="22">
        <f>Tabell2[[#This Row],[NIBR11]]</f>
        <v>8</v>
      </c>
      <c r="L62" s="32">
        <f>IF(Tabell2[[#This Row],[ReisetidOslo]]&lt;=C$434,C$434,IF(Tabell2[[#This Row],[ReisetidOslo]]&gt;=C$435,C$435,Tabell2[[#This Row],[ReisetidOslo]]))</f>
        <v>179.63333333330002</v>
      </c>
      <c r="M62" s="32">
        <f>IF(Tabell2[[#This Row],[Beftettotal]]&lt;=D$434,D$434,IF(Tabell2[[#This Row],[Beftettotal]]&gt;=D$435,D$435,Tabell2[[#This Row],[Beftettotal]]))</f>
        <v>1.4751601207920966</v>
      </c>
      <c r="N62" s="34">
        <f>IF(Tabell2[[#This Row],[Befvekst10]]&lt;=E$434,E$434,IF(Tabell2[[#This Row],[Befvekst10]]&gt;=E$435,E$435,Tabell2[[#This Row],[Befvekst10]]))</f>
        <v>-6.8616422947131661E-2</v>
      </c>
      <c r="O62" s="34">
        <f>IF(Tabell2[[#This Row],[Kvinneandel]]&lt;=F$434,F$434,IF(Tabell2[[#This Row],[Kvinneandel]]&gt;=F$435,F$435,Tabell2[[#This Row],[Kvinneandel]]))</f>
        <v>0.10084541062801933</v>
      </c>
      <c r="P62" s="34">
        <f>IF(Tabell2[[#This Row],[Eldreandel]]&lt;=G$434,G$434,IF(Tabell2[[#This Row],[Eldreandel]]&gt;=G$435,G$435,Tabell2[[#This Row],[Eldreandel]]))</f>
        <v>0.16968599033816426</v>
      </c>
      <c r="Q62" s="34">
        <f>IF(Tabell2[[#This Row],[Sysselsettingsvekst10]]&lt;=H$434,H$434,IF(Tabell2[[#This Row],[Sysselsettingsvekst10]]&gt;=H$435,H$435,Tabell2[[#This Row],[Sysselsettingsvekst10]]))</f>
        <v>-6.9733479337269061E-2</v>
      </c>
      <c r="R62" s="34">
        <f>IF(Tabell2[[#This Row],[Yrkesaktivandel]]&lt;=I$434,I$434,IF(Tabell2[[#This Row],[Yrkesaktivandel]]&gt;=I$435,I$435,Tabell2[[#This Row],[Yrkesaktivandel]]))</f>
        <v>0.92465016146393975</v>
      </c>
      <c r="S62" s="22">
        <f>IF(Tabell2[[#This Row],[Inntekt]]&lt;=J$434,J$434,IF(Tabell2[[#This Row],[Inntekt]]&gt;=J$435,J$435,Tabell2[[#This Row],[Inntekt]]))</f>
        <v>331640</v>
      </c>
      <c r="T62" s="22">
        <f>IF(Tabell2[[#This Row],[NIBR11-T]]&lt;=K$437,100,IF(Tabell2[[#This Row],[NIBR11-T]]&gt;=K$436,0,100*(K$436-Tabell2[[#This Row],[NIBR11-T]])/K$439))</f>
        <v>30</v>
      </c>
      <c r="U62" s="7">
        <f>IF(Tabell2[[#This Row],[ReisetidOslo-T]]&lt;=L$437,100,IF(Tabell2[[#This Row],[ReisetidOslo-T]]&gt;=L$436,0,100*(L$436-Tabell2[[#This Row],[ReisetidOslo-T]])/L$439))</f>
        <v>44.2369287020313</v>
      </c>
      <c r="V62" s="7">
        <f>100-(M$436-Tabell2[[#This Row],[Beftettotal-T]])*100/M$439</f>
        <v>0.11246790596203482</v>
      </c>
      <c r="W62" s="7">
        <f>100-(N$436-Tabell2[[#This Row],[Befvekst10-T]])*100/N$439</f>
        <v>3.0518777572670501</v>
      </c>
      <c r="X62" s="7">
        <f>100-(O$436-Tabell2[[#This Row],[Kvinneandel-T]])*100/O$439</f>
        <v>27.363459759147645</v>
      </c>
      <c r="Y62" s="7">
        <f>(P$436-Tabell2[[#This Row],[Eldreandel-T]])*100/P$439</f>
        <v>48.978947625172964</v>
      </c>
      <c r="Z62" s="7">
        <f>100-(Q$436-Tabell2[[#This Row],[Sysselsettingsvekst10-T]])*100/Q$439</f>
        <v>0</v>
      </c>
      <c r="AA62" s="7">
        <f>100-(R$436-Tabell2[[#This Row],[Yrkesaktivandel-T]])*100/R$439</f>
        <v>71.256760661236882</v>
      </c>
      <c r="AB62" s="7">
        <f>100-(S$436-Tabell2[[#This Row],[Inntekt-T]])*100/S$439</f>
        <v>0</v>
      </c>
      <c r="AC62" s="55">
        <f>Tabell2[[#This Row],[NIBR11-I]]*Vekter!$B$3</f>
        <v>6</v>
      </c>
      <c r="AD62" s="55">
        <f>Tabell2[[#This Row],[ReisetidOslo-I]]*Vekter!$C$3</f>
        <v>4.42369287020313</v>
      </c>
      <c r="AE62" s="55">
        <f>Tabell2[[#This Row],[Beftettotal-I]]*Vekter!$D$3</f>
        <v>1.1246790596203482E-2</v>
      </c>
      <c r="AF62" s="55">
        <f>Tabell2[[#This Row],[Befvekst10-I]]*Vekter!$E$3</f>
        <v>0.61037555145341005</v>
      </c>
      <c r="AG62" s="55">
        <f>Tabell2[[#This Row],[Kvinneandel-I]]*Vekter!$F$3</f>
        <v>1.3681729879573823</v>
      </c>
      <c r="AH62" s="55">
        <f>Tabell2[[#This Row],[Eldreandel-I]]*Vekter!$G$3</f>
        <v>2.4489473812586482</v>
      </c>
      <c r="AI62" s="55">
        <f>Tabell2[[#This Row],[Sysselsettingsvekst10-I]]*Vekter!$H$3</f>
        <v>0</v>
      </c>
      <c r="AJ62" s="55">
        <f>Tabell2[[#This Row],[Yrkesaktivandel-I]]*Vekter!$J$3</f>
        <v>7.1256760661236882</v>
      </c>
      <c r="AK62" s="55">
        <f>Tabell2[[#This Row],[Inntekt-I]]*Vekter!$L$3</f>
        <v>0</v>
      </c>
      <c r="AL62" s="56">
        <f>SUM(Tabell2[[#This Row],[NIBR11-v]:[Inntekt-v]])</f>
        <v>21.988111647592461</v>
      </c>
    </row>
    <row r="63" spans="1:38" x14ac:dyDescent="0.25">
      <c r="A63" s="2" t="s">
        <v>60</v>
      </c>
      <c r="B63">
        <f>'Rådata-K'!M62</f>
        <v>8</v>
      </c>
      <c r="C63" s="7">
        <f>'Rådata-K'!L62</f>
        <v>196.21666666670001</v>
      </c>
      <c r="D63" s="34">
        <f>'Rådata-K'!N62</f>
        <v>2.9577082812641251</v>
      </c>
      <c r="E63" s="34">
        <f>'Rådata-K'!O62</f>
        <v>2.9047178538390339E-2</v>
      </c>
      <c r="F63" s="34">
        <f>'Rådata-K'!P62</f>
        <v>0.10248112189859762</v>
      </c>
      <c r="G63" s="34">
        <f>'Rådata-K'!Q62</f>
        <v>0.16325062927004674</v>
      </c>
      <c r="H63" s="34">
        <f>'Rådata-K'!R62</f>
        <v>6.8942875902823442E-2</v>
      </c>
      <c r="I63" s="34">
        <f>'Rådata-K'!S62</f>
        <v>0.92767598842815813</v>
      </c>
      <c r="J63" s="22">
        <f>'Rådata-K'!K62</f>
        <v>353900</v>
      </c>
      <c r="K63" s="22">
        <f>Tabell2[[#This Row],[NIBR11]]</f>
        <v>8</v>
      </c>
      <c r="L63" s="32">
        <f>IF(Tabell2[[#This Row],[ReisetidOslo]]&lt;=C$434,C$434,IF(Tabell2[[#This Row],[ReisetidOslo]]&gt;=C$435,C$435,Tabell2[[#This Row],[ReisetidOslo]]))</f>
        <v>196.21666666670001</v>
      </c>
      <c r="M63" s="32">
        <f>IF(Tabell2[[#This Row],[Beftettotal]]&lt;=D$434,D$434,IF(Tabell2[[#This Row],[Beftettotal]]&gt;=D$435,D$435,Tabell2[[#This Row],[Beftettotal]]))</f>
        <v>2.9577082812641251</v>
      </c>
      <c r="N63" s="34">
        <f>IF(Tabell2[[#This Row],[Befvekst10]]&lt;=E$434,E$434,IF(Tabell2[[#This Row],[Befvekst10]]&gt;=E$435,E$435,Tabell2[[#This Row],[Befvekst10]]))</f>
        <v>2.9047178538390339E-2</v>
      </c>
      <c r="O63" s="34">
        <f>IF(Tabell2[[#This Row],[Kvinneandel]]&lt;=F$434,F$434,IF(Tabell2[[#This Row],[Kvinneandel]]&gt;=F$435,F$435,Tabell2[[#This Row],[Kvinneandel]]))</f>
        <v>0.10248112189859762</v>
      </c>
      <c r="P63" s="34">
        <f>IF(Tabell2[[#This Row],[Eldreandel]]&lt;=G$434,G$434,IF(Tabell2[[#This Row],[Eldreandel]]&gt;=G$435,G$435,Tabell2[[#This Row],[Eldreandel]]))</f>
        <v>0.16325062927004674</v>
      </c>
      <c r="Q63" s="34">
        <f>IF(Tabell2[[#This Row],[Sysselsettingsvekst10]]&lt;=H$434,H$434,IF(Tabell2[[#This Row],[Sysselsettingsvekst10]]&gt;=H$435,H$435,Tabell2[[#This Row],[Sysselsettingsvekst10]]))</f>
        <v>6.8942875902823442E-2</v>
      </c>
      <c r="R63" s="34">
        <f>IF(Tabell2[[#This Row],[Yrkesaktivandel]]&lt;=I$434,I$434,IF(Tabell2[[#This Row],[Yrkesaktivandel]]&gt;=I$435,I$435,Tabell2[[#This Row],[Yrkesaktivandel]]))</f>
        <v>0.92767598842815813</v>
      </c>
      <c r="S63" s="22">
        <f>IF(Tabell2[[#This Row],[Inntekt]]&lt;=J$434,J$434,IF(Tabell2[[#This Row],[Inntekt]]&gt;=J$435,J$435,Tabell2[[#This Row],[Inntekt]]))</f>
        <v>353900</v>
      </c>
      <c r="T63" s="22">
        <f>IF(Tabell2[[#This Row],[NIBR11-T]]&lt;=K$437,100,IF(Tabell2[[#This Row],[NIBR11-T]]&gt;=K$436,0,100*(K$436-Tabell2[[#This Row],[NIBR11-T]])/K$439))</f>
        <v>30</v>
      </c>
      <c r="U63" s="7">
        <f>IF(Tabell2[[#This Row],[ReisetidOslo-T]]&lt;=L$437,100,IF(Tabell2[[#This Row],[ReisetidOslo-T]]&gt;=L$436,0,100*(L$436-Tabell2[[#This Row],[ReisetidOslo-T]])/L$439))</f>
        <v>36.960877513702975</v>
      </c>
      <c r="V63" s="7">
        <f>100-(M$436-Tabell2[[#This Row],[Beftettotal-T]])*100/M$439</f>
        <v>1.2593238423236528</v>
      </c>
      <c r="W63" s="7">
        <f>100-(N$436-Tabell2[[#This Row],[Befvekst10-T]])*100/N$439</f>
        <v>42.374813731158632</v>
      </c>
      <c r="X63" s="7">
        <f>100-(O$436-Tabell2[[#This Row],[Kvinneandel-T]])*100/O$439</f>
        <v>31.68579648078412</v>
      </c>
      <c r="Y63" s="7">
        <f>(P$436-Tabell2[[#This Row],[Eldreandel-T]])*100/P$439</f>
        <v>56.030506989711547</v>
      </c>
      <c r="Z63" s="7">
        <f>100-(Q$436-Tabell2[[#This Row],[Sysselsettingsvekst10-T]])*100/Q$439</f>
        <v>41.261888194970474</v>
      </c>
      <c r="AA63" s="7">
        <f>100-(R$436-Tabell2[[#This Row],[Yrkesaktivandel-T]])*100/R$439</f>
        <v>73.583294047082916</v>
      </c>
      <c r="AB63" s="7">
        <f>100-(S$436-Tabell2[[#This Row],[Inntekt-T]])*100/S$439</f>
        <v>25.841653122823317</v>
      </c>
      <c r="AC63" s="55">
        <f>Tabell2[[#This Row],[NIBR11-I]]*Vekter!$B$3</f>
        <v>6</v>
      </c>
      <c r="AD63" s="55">
        <f>Tabell2[[#This Row],[ReisetidOslo-I]]*Vekter!$C$3</f>
        <v>3.6960877513702979</v>
      </c>
      <c r="AE63" s="55">
        <f>Tabell2[[#This Row],[Beftettotal-I]]*Vekter!$D$3</f>
        <v>0.12593238423236527</v>
      </c>
      <c r="AF63" s="55">
        <f>Tabell2[[#This Row],[Befvekst10-I]]*Vekter!$E$3</f>
        <v>8.4749627462317267</v>
      </c>
      <c r="AG63" s="55">
        <f>Tabell2[[#This Row],[Kvinneandel-I]]*Vekter!$F$3</f>
        <v>1.584289824039206</v>
      </c>
      <c r="AH63" s="55">
        <f>Tabell2[[#This Row],[Eldreandel-I]]*Vekter!$G$3</f>
        <v>2.8015253494855776</v>
      </c>
      <c r="AI63" s="55">
        <f>Tabell2[[#This Row],[Sysselsettingsvekst10-I]]*Vekter!$H$3</f>
        <v>4.126188819497048</v>
      </c>
      <c r="AJ63" s="55">
        <f>Tabell2[[#This Row],[Yrkesaktivandel-I]]*Vekter!$J$3</f>
        <v>7.3583294047082921</v>
      </c>
      <c r="AK63" s="55">
        <f>Tabell2[[#This Row],[Inntekt-I]]*Vekter!$L$3</f>
        <v>2.584165312282332</v>
      </c>
      <c r="AL63" s="56">
        <f>SUM(Tabell2[[#This Row],[NIBR11-v]:[Inntekt-v]])</f>
        <v>36.75148159184684</v>
      </c>
    </row>
    <row r="64" spans="1:38" x14ac:dyDescent="0.25">
      <c r="A64" s="2" t="s">
        <v>61</v>
      </c>
      <c r="B64">
        <f>'Rådata-K'!M63</f>
        <v>8</v>
      </c>
      <c r="C64" s="7">
        <f>'Rådata-K'!L63</f>
        <v>214.96666666670001</v>
      </c>
      <c r="D64" s="34">
        <f>'Rådata-K'!N63</f>
        <v>2.5664703072759116</v>
      </c>
      <c r="E64" s="34">
        <f>'Rådata-K'!O63</f>
        <v>8.2781456953640031E-4</v>
      </c>
      <c r="F64" s="34">
        <f>'Rådata-K'!P63</f>
        <v>0.10545905707196029</v>
      </c>
      <c r="G64" s="34">
        <f>'Rådata-K'!Q63</f>
        <v>0.16997518610421836</v>
      </c>
      <c r="H64" s="34">
        <f>'Rådata-K'!R63</f>
        <v>0.13598519888991678</v>
      </c>
      <c r="I64" s="34">
        <f>'Rådata-K'!S63</f>
        <v>0.96096096096096095</v>
      </c>
      <c r="J64" s="22">
        <f>'Rådata-K'!K63</f>
        <v>353100</v>
      </c>
      <c r="K64" s="22">
        <f>Tabell2[[#This Row],[NIBR11]]</f>
        <v>8</v>
      </c>
      <c r="L64" s="32">
        <f>IF(Tabell2[[#This Row],[ReisetidOslo]]&lt;=C$434,C$434,IF(Tabell2[[#This Row],[ReisetidOslo]]&gt;=C$435,C$435,Tabell2[[#This Row],[ReisetidOslo]]))</f>
        <v>214.96666666670001</v>
      </c>
      <c r="M64" s="32">
        <f>IF(Tabell2[[#This Row],[Beftettotal]]&lt;=D$434,D$434,IF(Tabell2[[#This Row],[Beftettotal]]&gt;=D$435,D$435,Tabell2[[#This Row],[Beftettotal]]))</f>
        <v>2.5664703072759116</v>
      </c>
      <c r="N64" s="34">
        <f>IF(Tabell2[[#This Row],[Befvekst10]]&lt;=E$434,E$434,IF(Tabell2[[#This Row],[Befvekst10]]&gt;=E$435,E$435,Tabell2[[#This Row],[Befvekst10]]))</f>
        <v>8.2781456953640031E-4</v>
      </c>
      <c r="O64" s="34">
        <f>IF(Tabell2[[#This Row],[Kvinneandel]]&lt;=F$434,F$434,IF(Tabell2[[#This Row],[Kvinneandel]]&gt;=F$435,F$435,Tabell2[[#This Row],[Kvinneandel]]))</f>
        <v>0.10545905707196029</v>
      </c>
      <c r="P64" s="34">
        <f>IF(Tabell2[[#This Row],[Eldreandel]]&lt;=G$434,G$434,IF(Tabell2[[#This Row],[Eldreandel]]&gt;=G$435,G$435,Tabell2[[#This Row],[Eldreandel]]))</f>
        <v>0.16997518610421836</v>
      </c>
      <c r="Q64" s="34">
        <f>IF(Tabell2[[#This Row],[Sysselsettingsvekst10]]&lt;=H$434,H$434,IF(Tabell2[[#This Row],[Sysselsettingsvekst10]]&gt;=H$435,H$435,Tabell2[[#This Row],[Sysselsettingsvekst10]]))</f>
        <v>0.13598519888991678</v>
      </c>
      <c r="R64" s="34">
        <f>IF(Tabell2[[#This Row],[Yrkesaktivandel]]&lt;=I$434,I$434,IF(Tabell2[[#This Row],[Yrkesaktivandel]]&gt;=I$435,I$435,Tabell2[[#This Row],[Yrkesaktivandel]]))</f>
        <v>0.96096096096096095</v>
      </c>
      <c r="S64" s="22">
        <f>IF(Tabell2[[#This Row],[Inntekt]]&lt;=J$434,J$434,IF(Tabell2[[#This Row],[Inntekt]]&gt;=J$435,J$435,Tabell2[[#This Row],[Inntekt]]))</f>
        <v>353100</v>
      </c>
      <c r="T64" s="22">
        <f>IF(Tabell2[[#This Row],[NIBR11-T]]&lt;=K$437,100,IF(Tabell2[[#This Row],[NIBR11-T]]&gt;=K$436,0,100*(K$436-Tabell2[[#This Row],[NIBR11-T]])/K$439))</f>
        <v>30</v>
      </c>
      <c r="U64" s="7">
        <f>IF(Tabell2[[#This Row],[ReisetidOslo-T]]&lt;=L$437,100,IF(Tabell2[[#This Row],[ReisetidOslo-T]]&gt;=L$436,0,100*(L$436-Tabell2[[#This Row],[ReisetidOslo-T]])/L$439))</f>
        <v>28.73418647165629</v>
      </c>
      <c r="V64" s="7">
        <f>100-(M$436-Tabell2[[#This Row],[Beftettotal-T]])*100/M$439</f>
        <v>0.95667357775779749</v>
      </c>
      <c r="W64" s="7">
        <f>100-(N$436-Tabell2[[#This Row],[Befvekst10-T]])*100/N$439</f>
        <v>31.012666260734989</v>
      </c>
      <c r="X64" s="7">
        <f>100-(O$436-Tabell2[[#This Row],[Kvinneandel-T]])*100/O$439</f>
        <v>39.554934993186549</v>
      </c>
      <c r="Y64" s="7">
        <f>(P$436-Tabell2[[#This Row],[Eldreandel-T]])*100/P$439</f>
        <v>48.662060803949082</v>
      </c>
      <c r="Z64" s="7">
        <f>100-(Q$436-Tabell2[[#This Row],[Sysselsettingsvekst10-T]])*100/Q$439</f>
        <v>61.209721627967895</v>
      </c>
      <c r="AA64" s="7">
        <f>100-(R$436-Tabell2[[#This Row],[Yrkesaktivandel-T]])*100/R$439</f>
        <v>99.175834783971098</v>
      </c>
      <c r="AB64" s="7">
        <f>100-(S$436-Tabell2[[#This Row],[Inntekt-T]])*100/S$439</f>
        <v>24.912932435569999</v>
      </c>
      <c r="AC64" s="55">
        <f>Tabell2[[#This Row],[NIBR11-I]]*Vekter!$B$3</f>
        <v>6</v>
      </c>
      <c r="AD64" s="55">
        <f>Tabell2[[#This Row],[ReisetidOslo-I]]*Vekter!$C$3</f>
        <v>2.8734186471656291</v>
      </c>
      <c r="AE64" s="55">
        <f>Tabell2[[#This Row],[Beftettotal-I]]*Vekter!$D$3</f>
        <v>9.5667357775779754E-2</v>
      </c>
      <c r="AF64" s="55">
        <f>Tabell2[[#This Row],[Befvekst10-I]]*Vekter!$E$3</f>
        <v>6.2025332521469982</v>
      </c>
      <c r="AG64" s="55">
        <f>Tabell2[[#This Row],[Kvinneandel-I]]*Vekter!$F$3</f>
        <v>1.9777467496593275</v>
      </c>
      <c r="AH64" s="55">
        <f>Tabell2[[#This Row],[Eldreandel-I]]*Vekter!$G$3</f>
        <v>2.4331030401974543</v>
      </c>
      <c r="AI64" s="55">
        <f>Tabell2[[#This Row],[Sysselsettingsvekst10-I]]*Vekter!$H$3</f>
        <v>6.1209721627967895</v>
      </c>
      <c r="AJ64" s="55">
        <f>Tabell2[[#This Row],[Yrkesaktivandel-I]]*Vekter!$J$3</f>
        <v>9.9175834783971109</v>
      </c>
      <c r="AK64" s="55">
        <f>Tabell2[[#This Row],[Inntekt-I]]*Vekter!$L$3</f>
        <v>2.4912932435570001</v>
      </c>
      <c r="AL64" s="56">
        <f>SUM(Tabell2[[#This Row],[NIBR11-v]:[Inntekt-v]])</f>
        <v>38.11231793169609</v>
      </c>
    </row>
    <row r="65" spans="1:38" x14ac:dyDescent="0.25">
      <c r="A65" s="2" t="s">
        <v>62</v>
      </c>
      <c r="B65">
        <f>'Rådata-K'!M64</f>
        <v>8</v>
      </c>
      <c r="C65" s="7">
        <f>'Rådata-K'!L64</f>
        <v>233</v>
      </c>
      <c r="D65" s="34">
        <f>'Rådata-K'!N64</f>
        <v>1.2507048430549466</v>
      </c>
      <c r="E65" s="34">
        <f>'Rådata-K'!O64</f>
        <v>-6.9889341875363997E-2</v>
      </c>
      <c r="F65" s="34">
        <f>'Rådata-K'!P64</f>
        <v>7.6393237319974952E-2</v>
      </c>
      <c r="G65" s="34">
        <f>'Rådata-K'!Q64</f>
        <v>0.2197871008140263</v>
      </c>
      <c r="H65" s="34">
        <f>'Rådata-K'!R64</f>
        <v>-4.409672830725464E-2</v>
      </c>
      <c r="I65" s="34">
        <f>'Rådata-K'!S64</f>
        <v>1.0097442143727162</v>
      </c>
      <c r="J65" s="22">
        <f>'Rådata-K'!K64</f>
        <v>330300</v>
      </c>
      <c r="K65" s="22">
        <f>Tabell2[[#This Row],[NIBR11]]</f>
        <v>8</v>
      </c>
      <c r="L65" s="32">
        <f>IF(Tabell2[[#This Row],[ReisetidOslo]]&lt;=C$434,C$434,IF(Tabell2[[#This Row],[ReisetidOslo]]&gt;=C$435,C$435,Tabell2[[#This Row],[ReisetidOslo]]))</f>
        <v>233</v>
      </c>
      <c r="M65" s="32">
        <f>IF(Tabell2[[#This Row],[Beftettotal]]&lt;=D$434,D$434,IF(Tabell2[[#This Row],[Beftettotal]]&gt;=D$435,D$435,Tabell2[[#This Row],[Beftettotal]]))</f>
        <v>1.3297721240876861</v>
      </c>
      <c r="N65" s="34">
        <f>IF(Tabell2[[#This Row],[Befvekst10]]&lt;=E$434,E$434,IF(Tabell2[[#This Row],[Befvekst10]]&gt;=E$435,E$435,Tabell2[[#This Row],[Befvekst10]]))</f>
        <v>-6.9889341875363997E-2</v>
      </c>
      <c r="O65" s="34">
        <f>IF(Tabell2[[#This Row],[Kvinneandel]]&lt;=F$434,F$434,IF(Tabell2[[#This Row],[Kvinneandel]]&gt;=F$435,F$435,Tabell2[[#This Row],[Kvinneandel]]))</f>
        <v>9.0490197137593403E-2</v>
      </c>
      <c r="P65" s="34">
        <f>IF(Tabell2[[#This Row],[Eldreandel]]&lt;=G$434,G$434,IF(Tabell2[[#This Row],[Eldreandel]]&gt;=G$435,G$435,Tabell2[[#This Row],[Eldreandel]]))</f>
        <v>0.21438492803547596</v>
      </c>
      <c r="Q65" s="34">
        <f>IF(Tabell2[[#This Row],[Sysselsettingsvekst10]]&lt;=H$434,H$434,IF(Tabell2[[#This Row],[Sysselsettingsvekst10]]&gt;=H$435,H$435,Tabell2[[#This Row],[Sysselsettingsvekst10]]))</f>
        <v>-4.409672830725464E-2</v>
      </c>
      <c r="R65" s="34">
        <f>IF(Tabell2[[#This Row],[Yrkesaktivandel]]&lt;=I$434,I$434,IF(Tabell2[[#This Row],[Yrkesaktivandel]]&gt;=I$435,I$435,Tabell2[[#This Row],[Yrkesaktivandel]]))</f>
        <v>0.96203284815106216</v>
      </c>
      <c r="S65" s="22">
        <f>IF(Tabell2[[#This Row],[Inntekt]]&lt;=J$434,J$434,IF(Tabell2[[#This Row],[Inntekt]]&gt;=J$435,J$435,Tabell2[[#This Row],[Inntekt]]))</f>
        <v>331640</v>
      </c>
      <c r="T65" s="22">
        <f>IF(Tabell2[[#This Row],[NIBR11-T]]&lt;=K$437,100,IF(Tabell2[[#This Row],[NIBR11-T]]&gt;=K$436,0,100*(K$436-Tabell2[[#This Row],[NIBR11-T]])/K$439))</f>
        <v>30</v>
      </c>
      <c r="U65" s="7">
        <f>IF(Tabell2[[#This Row],[ReisetidOslo-T]]&lt;=L$437,100,IF(Tabell2[[#This Row],[ReisetidOslo-T]]&gt;=L$436,0,100*(L$436-Tabell2[[#This Row],[ReisetidOslo-T]])/L$439))</f>
        <v>20.821937842786905</v>
      </c>
      <c r="V65" s="7">
        <f>100-(M$436-Tabell2[[#This Row],[Beftettotal-T]])*100/M$439</f>
        <v>0</v>
      </c>
      <c r="W65" s="7">
        <f>100-(N$436-Tabell2[[#This Row],[Befvekst10-T]])*100/N$439</f>
        <v>2.5393540662145995</v>
      </c>
      <c r="X65" s="7">
        <f>100-(O$436-Tabell2[[#This Row],[Kvinneandel-T]])*100/O$439</f>
        <v>0</v>
      </c>
      <c r="Y65" s="7">
        <f>(P$436-Tabell2[[#This Row],[Eldreandel-T]])*100/P$439</f>
        <v>0</v>
      </c>
      <c r="Z65" s="7">
        <f>100-(Q$436-Tabell2[[#This Row],[Sysselsettingsvekst10-T]])*100/Q$439</f>
        <v>7.6279820943615704</v>
      </c>
      <c r="AA65" s="7">
        <f>100-(R$436-Tabell2[[#This Row],[Yrkesaktivandel-T]])*100/R$439</f>
        <v>100</v>
      </c>
      <c r="AB65" s="7">
        <f>100-(S$436-Tabell2[[#This Row],[Inntekt-T]])*100/S$439</f>
        <v>0</v>
      </c>
      <c r="AC65" s="55">
        <f>Tabell2[[#This Row],[NIBR11-I]]*Vekter!$B$3</f>
        <v>6</v>
      </c>
      <c r="AD65" s="55">
        <f>Tabell2[[#This Row],[ReisetidOslo-I]]*Vekter!$C$3</f>
        <v>2.0821937842786906</v>
      </c>
      <c r="AE65" s="55">
        <f>Tabell2[[#This Row],[Beftettotal-I]]*Vekter!$D$3</f>
        <v>0</v>
      </c>
      <c r="AF65" s="55">
        <f>Tabell2[[#This Row],[Befvekst10-I]]*Vekter!$E$3</f>
        <v>0.50787081324291994</v>
      </c>
      <c r="AG65" s="55">
        <f>Tabell2[[#This Row],[Kvinneandel-I]]*Vekter!$F$3</f>
        <v>0</v>
      </c>
      <c r="AH65" s="55">
        <f>Tabell2[[#This Row],[Eldreandel-I]]*Vekter!$G$3</f>
        <v>0</v>
      </c>
      <c r="AI65" s="55">
        <f>Tabell2[[#This Row],[Sysselsettingsvekst10-I]]*Vekter!$H$3</f>
        <v>0.76279820943615706</v>
      </c>
      <c r="AJ65" s="55">
        <f>Tabell2[[#This Row],[Yrkesaktivandel-I]]*Vekter!$J$3</f>
        <v>10</v>
      </c>
      <c r="AK65" s="55">
        <f>Tabell2[[#This Row],[Inntekt-I]]*Vekter!$L$3</f>
        <v>0</v>
      </c>
      <c r="AL65" s="56">
        <f>SUM(Tabell2[[#This Row],[NIBR11-v]:[Inntekt-v]])</f>
        <v>19.352862806957766</v>
      </c>
    </row>
    <row r="66" spans="1:38" x14ac:dyDescent="0.25">
      <c r="A66" s="2" t="s">
        <v>63</v>
      </c>
      <c r="B66">
        <f>'Rådata-K'!M65</f>
        <v>9</v>
      </c>
      <c r="C66" s="7">
        <f>'Rådata-K'!L65</f>
        <v>164.1</v>
      </c>
      <c r="D66" s="34">
        <f>'Rådata-K'!N65</f>
        <v>1.9136686498591899</v>
      </c>
      <c r="E66" s="34">
        <f>'Rådata-K'!O65</f>
        <v>-4.5999041686631492E-2</v>
      </c>
      <c r="F66" s="34">
        <f>'Rådata-K'!P65</f>
        <v>9.4927172275238572E-2</v>
      </c>
      <c r="G66" s="34">
        <f>'Rådata-K'!Q65</f>
        <v>0.18935208437970869</v>
      </c>
      <c r="H66" s="34">
        <f>'Rådata-K'!R65</f>
        <v>-5.2562417871222511E-3</v>
      </c>
      <c r="I66" s="34">
        <f>'Rådata-K'!S65</f>
        <v>0.9872146118721461</v>
      </c>
      <c r="J66" s="22">
        <f>'Rådata-K'!K65</f>
        <v>330100</v>
      </c>
      <c r="K66" s="22">
        <f>Tabell2[[#This Row],[NIBR11]]</f>
        <v>9</v>
      </c>
      <c r="L66" s="32">
        <f>IF(Tabell2[[#This Row],[ReisetidOslo]]&lt;=C$434,C$434,IF(Tabell2[[#This Row],[ReisetidOslo]]&gt;=C$435,C$435,Tabell2[[#This Row],[ReisetidOslo]]))</f>
        <v>164.1</v>
      </c>
      <c r="M66" s="32">
        <f>IF(Tabell2[[#This Row],[Beftettotal]]&lt;=D$434,D$434,IF(Tabell2[[#This Row],[Beftettotal]]&gt;=D$435,D$435,Tabell2[[#This Row],[Beftettotal]]))</f>
        <v>1.9136686498591899</v>
      </c>
      <c r="N66" s="34">
        <f>IF(Tabell2[[#This Row],[Befvekst10]]&lt;=E$434,E$434,IF(Tabell2[[#This Row],[Befvekst10]]&gt;=E$435,E$435,Tabell2[[#This Row],[Befvekst10]]))</f>
        <v>-4.5999041686631492E-2</v>
      </c>
      <c r="O66" s="34">
        <f>IF(Tabell2[[#This Row],[Kvinneandel]]&lt;=F$434,F$434,IF(Tabell2[[#This Row],[Kvinneandel]]&gt;=F$435,F$435,Tabell2[[#This Row],[Kvinneandel]]))</f>
        <v>9.4927172275238572E-2</v>
      </c>
      <c r="P66" s="34">
        <f>IF(Tabell2[[#This Row],[Eldreandel]]&lt;=G$434,G$434,IF(Tabell2[[#This Row],[Eldreandel]]&gt;=G$435,G$435,Tabell2[[#This Row],[Eldreandel]]))</f>
        <v>0.18935208437970869</v>
      </c>
      <c r="Q66" s="34">
        <f>IF(Tabell2[[#This Row],[Sysselsettingsvekst10]]&lt;=H$434,H$434,IF(Tabell2[[#This Row],[Sysselsettingsvekst10]]&gt;=H$435,H$435,Tabell2[[#This Row],[Sysselsettingsvekst10]]))</f>
        <v>-5.2562417871222511E-3</v>
      </c>
      <c r="R66" s="34">
        <f>IF(Tabell2[[#This Row],[Yrkesaktivandel]]&lt;=I$434,I$434,IF(Tabell2[[#This Row],[Yrkesaktivandel]]&gt;=I$435,I$435,Tabell2[[#This Row],[Yrkesaktivandel]]))</f>
        <v>0.96203284815106216</v>
      </c>
      <c r="S66" s="22">
        <f>IF(Tabell2[[#This Row],[Inntekt]]&lt;=J$434,J$434,IF(Tabell2[[#This Row],[Inntekt]]&gt;=J$435,J$435,Tabell2[[#This Row],[Inntekt]]))</f>
        <v>331640</v>
      </c>
      <c r="T66" s="22">
        <f>IF(Tabell2[[#This Row],[NIBR11-T]]&lt;=K$437,100,IF(Tabell2[[#This Row],[NIBR11-T]]&gt;=K$436,0,100*(K$436-Tabell2[[#This Row],[NIBR11-T]])/K$439))</f>
        <v>20</v>
      </c>
      <c r="U66" s="7">
        <f>IF(Tabell2[[#This Row],[ReisetidOslo-T]]&lt;=L$437,100,IF(Tabell2[[#This Row],[ReisetidOslo-T]]&gt;=L$436,0,100*(L$436-Tabell2[[#This Row],[ReisetidOslo-T]])/L$439))</f>
        <v>51.05228519196114</v>
      </c>
      <c r="V66" s="7">
        <f>100-(M$436-Tabell2[[#This Row],[Beftettotal-T]])*100/M$439</f>
        <v>0.45168529067463226</v>
      </c>
      <c r="W66" s="7">
        <f>100-(N$436-Tabell2[[#This Row],[Befvekst10-T]])*100/N$439</f>
        <v>12.158462213253841</v>
      </c>
      <c r="X66" s="7">
        <f>100-(O$436-Tabell2[[#This Row],[Kvinneandel-T]])*100/O$439</f>
        <v>11.724624580994359</v>
      </c>
      <c r="Y66" s="7">
        <f>(P$436-Tabell2[[#This Row],[Eldreandel-T]])*100/P$439</f>
        <v>27.429786958867886</v>
      </c>
      <c r="Z66" s="7">
        <f>100-(Q$436-Tabell2[[#This Row],[Sysselsettingsvekst10-T]])*100/Q$439</f>
        <v>19.184615591523354</v>
      </c>
      <c r="AA66" s="7">
        <f>100-(R$436-Tabell2[[#This Row],[Yrkesaktivandel-T]])*100/R$439</f>
        <v>100</v>
      </c>
      <c r="AB66" s="7">
        <f>100-(S$436-Tabell2[[#This Row],[Inntekt-T]])*100/S$439</f>
        <v>0</v>
      </c>
      <c r="AC66" s="55">
        <f>Tabell2[[#This Row],[NIBR11-I]]*Vekter!$B$3</f>
        <v>4</v>
      </c>
      <c r="AD66" s="55">
        <f>Tabell2[[#This Row],[ReisetidOslo-I]]*Vekter!$C$3</f>
        <v>5.105228519196114</v>
      </c>
      <c r="AE66" s="55">
        <f>Tabell2[[#This Row],[Beftettotal-I]]*Vekter!$D$3</f>
        <v>4.5168529067463228E-2</v>
      </c>
      <c r="AF66" s="55">
        <f>Tabell2[[#This Row],[Befvekst10-I]]*Vekter!$E$3</f>
        <v>2.4316924426507684</v>
      </c>
      <c r="AG66" s="55">
        <f>Tabell2[[#This Row],[Kvinneandel-I]]*Vekter!$F$3</f>
        <v>0.58623122904971792</v>
      </c>
      <c r="AH66" s="55">
        <f>Tabell2[[#This Row],[Eldreandel-I]]*Vekter!$G$3</f>
        <v>1.3714893479433945</v>
      </c>
      <c r="AI66" s="55">
        <f>Tabell2[[#This Row],[Sysselsettingsvekst10-I]]*Vekter!$H$3</f>
        <v>1.9184615591523355</v>
      </c>
      <c r="AJ66" s="55">
        <f>Tabell2[[#This Row],[Yrkesaktivandel-I]]*Vekter!$J$3</f>
        <v>10</v>
      </c>
      <c r="AK66" s="55">
        <f>Tabell2[[#This Row],[Inntekt-I]]*Vekter!$L$3</f>
        <v>0</v>
      </c>
      <c r="AL66" s="56">
        <f>SUM(Tabell2[[#This Row],[NIBR11-v]:[Inntekt-v]])</f>
        <v>25.458271627059794</v>
      </c>
    </row>
    <row r="67" spans="1:38" x14ac:dyDescent="0.25">
      <c r="A67" s="2" t="s">
        <v>64</v>
      </c>
      <c r="B67">
        <f>'Rådata-K'!M66</f>
        <v>4</v>
      </c>
      <c r="C67" s="7">
        <f>'Rådata-K'!L66</f>
        <v>126.383333333</v>
      </c>
      <c r="D67" s="34">
        <f>'Rådata-K'!N66</f>
        <v>57.092665788317959</v>
      </c>
      <c r="E67" s="34">
        <f>'Rådata-K'!O66</f>
        <v>8.8733798604187397E-2</v>
      </c>
      <c r="F67" s="34">
        <f>'Rådata-K'!P66</f>
        <v>0.12611721611721613</v>
      </c>
      <c r="G67" s="34">
        <f>'Rådata-K'!Q66</f>
        <v>0.16706959706959706</v>
      </c>
      <c r="H67" s="34">
        <f>'Rådata-K'!R66</f>
        <v>0.11345736013036389</v>
      </c>
      <c r="I67" s="34">
        <f>'Rådata-K'!S66</f>
        <v>0.88596656021040765</v>
      </c>
      <c r="J67" s="22">
        <f>'Rådata-K'!K66</f>
        <v>384500</v>
      </c>
      <c r="K67" s="22">
        <f>Tabell2[[#This Row],[NIBR11]]</f>
        <v>4</v>
      </c>
      <c r="L67" s="32">
        <f>IF(Tabell2[[#This Row],[ReisetidOslo]]&lt;=C$434,C$434,IF(Tabell2[[#This Row],[ReisetidOslo]]&gt;=C$435,C$435,Tabell2[[#This Row],[ReisetidOslo]]))</f>
        <v>126.383333333</v>
      </c>
      <c r="M67" s="32">
        <f>IF(Tabell2[[#This Row],[Beftettotal]]&lt;=D$434,D$434,IF(Tabell2[[#This Row],[Beftettotal]]&gt;=D$435,D$435,Tabell2[[#This Row],[Beftettotal]]))</f>
        <v>57.092665788317959</v>
      </c>
      <c r="N67" s="34">
        <f>IF(Tabell2[[#This Row],[Befvekst10]]&lt;=E$434,E$434,IF(Tabell2[[#This Row],[Befvekst10]]&gt;=E$435,E$435,Tabell2[[#This Row],[Befvekst10]]))</f>
        <v>8.8733798604187397E-2</v>
      </c>
      <c r="O67" s="34">
        <f>IF(Tabell2[[#This Row],[Kvinneandel]]&lt;=F$434,F$434,IF(Tabell2[[#This Row],[Kvinneandel]]&gt;=F$435,F$435,Tabell2[[#This Row],[Kvinneandel]]))</f>
        <v>0.12611721611721613</v>
      </c>
      <c r="P67" s="34">
        <f>IF(Tabell2[[#This Row],[Eldreandel]]&lt;=G$434,G$434,IF(Tabell2[[#This Row],[Eldreandel]]&gt;=G$435,G$435,Tabell2[[#This Row],[Eldreandel]]))</f>
        <v>0.16706959706959706</v>
      </c>
      <c r="Q67" s="34">
        <f>IF(Tabell2[[#This Row],[Sysselsettingsvekst10]]&lt;=H$434,H$434,IF(Tabell2[[#This Row],[Sysselsettingsvekst10]]&gt;=H$435,H$435,Tabell2[[#This Row],[Sysselsettingsvekst10]]))</f>
        <v>0.11345736013036389</v>
      </c>
      <c r="R67" s="34">
        <f>IF(Tabell2[[#This Row],[Yrkesaktivandel]]&lt;=I$434,I$434,IF(Tabell2[[#This Row],[Yrkesaktivandel]]&gt;=I$435,I$435,Tabell2[[#This Row],[Yrkesaktivandel]]))</f>
        <v>0.88596656021040765</v>
      </c>
      <c r="S67" s="22">
        <f>IF(Tabell2[[#This Row],[Inntekt]]&lt;=J$434,J$434,IF(Tabell2[[#This Row],[Inntekt]]&gt;=J$435,J$435,Tabell2[[#This Row],[Inntekt]]))</f>
        <v>384500</v>
      </c>
      <c r="T67" s="22">
        <f>IF(Tabell2[[#This Row],[NIBR11-T]]&lt;=K$437,100,IF(Tabell2[[#This Row],[NIBR11-T]]&gt;=K$436,0,100*(K$436-Tabell2[[#This Row],[NIBR11-T]])/K$439))</f>
        <v>70</v>
      </c>
      <c r="U67" s="7">
        <f>IF(Tabell2[[#This Row],[ReisetidOslo-T]]&lt;=L$437,100,IF(Tabell2[[#This Row],[ReisetidOslo-T]]&gt;=L$436,0,100*(L$436-Tabell2[[#This Row],[ReisetidOslo-T]])/L$439))</f>
        <v>67.600731261575532</v>
      </c>
      <c r="V67" s="7">
        <f>100-(M$436-Tabell2[[#This Row],[Beftettotal-T]])*100/M$439</f>
        <v>43.136545127250344</v>
      </c>
      <c r="W67" s="7">
        <f>100-(N$436-Tabell2[[#This Row],[Befvekst10-T]])*100/N$439</f>
        <v>66.406828766906273</v>
      </c>
      <c r="X67" s="7">
        <f>100-(O$436-Tabell2[[#This Row],[Kvinneandel-T]])*100/O$439</f>
        <v>94.143737460230554</v>
      </c>
      <c r="Y67" s="7">
        <f>(P$436-Tabell2[[#This Row],[Eldreandel-T]])*100/P$439</f>
        <v>51.845865620759128</v>
      </c>
      <c r="Z67" s="7">
        <f>100-(Q$436-Tabell2[[#This Row],[Sysselsettingsvekst10-T]])*100/Q$439</f>
        <v>54.506768103110218</v>
      </c>
      <c r="AA67" s="7">
        <f>100-(R$436-Tabell2[[#This Row],[Yrkesaktivandel-T]])*100/R$439</f>
        <v>41.51325884656999</v>
      </c>
      <c r="AB67" s="7">
        <f>100-(S$436-Tabell2[[#This Row],[Inntekt-T]])*100/S$439</f>
        <v>61.365219410262362</v>
      </c>
      <c r="AC67" s="55">
        <f>Tabell2[[#This Row],[NIBR11-I]]*Vekter!$B$3</f>
        <v>14</v>
      </c>
      <c r="AD67" s="55">
        <f>Tabell2[[#This Row],[ReisetidOslo-I]]*Vekter!$C$3</f>
        <v>6.760073126157554</v>
      </c>
      <c r="AE67" s="55">
        <f>Tabell2[[#This Row],[Beftettotal-I]]*Vekter!$D$3</f>
        <v>4.3136545127250345</v>
      </c>
      <c r="AF67" s="55">
        <f>Tabell2[[#This Row],[Befvekst10-I]]*Vekter!$E$3</f>
        <v>13.281365753381255</v>
      </c>
      <c r="AG67" s="55">
        <f>Tabell2[[#This Row],[Kvinneandel-I]]*Vekter!$F$3</f>
        <v>4.707186873011528</v>
      </c>
      <c r="AH67" s="55">
        <f>Tabell2[[#This Row],[Eldreandel-I]]*Vekter!$G$3</f>
        <v>2.5922932810379566</v>
      </c>
      <c r="AI67" s="55">
        <f>Tabell2[[#This Row],[Sysselsettingsvekst10-I]]*Vekter!$H$3</f>
        <v>5.4506768103110224</v>
      </c>
      <c r="AJ67" s="55">
        <f>Tabell2[[#This Row],[Yrkesaktivandel-I]]*Vekter!$J$3</f>
        <v>4.1513258846569991</v>
      </c>
      <c r="AK67" s="55">
        <f>Tabell2[[#This Row],[Inntekt-I]]*Vekter!$L$3</f>
        <v>6.1365219410262366</v>
      </c>
      <c r="AL67" s="56">
        <f>SUM(Tabell2[[#This Row],[NIBR11-v]:[Inntekt-v]])</f>
        <v>61.393098182307583</v>
      </c>
    </row>
    <row r="68" spans="1:38" x14ac:dyDescent="0.25">
      <c r="A68" s="2" t="s">
        <v>65</v>
      </c>
      <c r="B68">
        <f>'Rådata-K'!M67</f>
        <v>4</v>
      </c>
      <c r="C68" s="7">
        <f>'Rådata-K'!L67</f>
        <v>104.05</v>
      </c>
      <c r="D68" s="34">
        <f>'Rådata-K'!N67</f>
        <v>44.719970249163261</v>
      </c>
      <c r="E68" s="34">
        <f>'Rådata-K'!O67</f>
        <v>8.7348090277777679E-2</v>
      </c>
      <c r="F68" s="34">
        <f>'Rådata-K'!P67</f>
        <v>0.12171107341250041</v>
      </c>
      <c r="G68" s="34">
        <f>'Rådata-K'!Q67</f>
        <v>0.16106177028240695</v>
      </c>
      <c r="H68" s="34">
        <f>'Rådata-K'!R67</f>
        <v>8.8268083152993615E-2</v>
      </c>
      <c r="I68" s="34">
        <f>'Rådata-K'!S67</f>
        <v>0.84760933605257194</v>
      </c>
      <c r="J68" s="22">
        <f>'Rådata-K'!K67</f>
        <v>362100</v>
      </c>
      <c r="K68" s="22">
        <f>Tabell2[[#This Row],[NIBR11]]</f>
        <v>4</v>
      </c>
      <c r="L68" s="32">
        <f>IF(Tabell2[[#This Row],[ReisetidOslo]]&lt;=C$434,C$434,IF(Tabell2[[#This Row],[ReisetidOslo]]&gt;=C$435,C$435,Tabell2[[#This Row],[ReisetidOslo]]))</f>
        <v>104.05</v>
      </c>
      <c r="M68" s="32">
        <f>IF(Tabell2[[#This Row],[Beftettotal]]&lt;=D$434,D$434,IF(Tabell2[[#This Row],[Beftettotal]]&gt;=D$435,D$435,Tabell2[[#This Row],[Beftettotal]]))</f>
        <v>44.719970249163261</v>
      </c>
      <c r="N68" s="34">
        <f>IF(Tabell2[[#This Row],[Befvekst10]]&lt;=E$434,E$434,IF(Tabell2[[#This Row],[Befvekst10]]&gt;=E$435,E$435,Tabell2[[#This Row],[Befvekst10]]))</f>
        <v>8.7348090277777679E-2</v>
      </c>
      <c r="O68" s="34">
        <f>IF(Tabell2[[#This Row],[Kvinneandel]]&lt;=F$434,F$434,IF(Tabell2[[#This Row],[Kvinneandel]]&gt;=F$435,F$435,Tabell2[[#This Row],[Kvinneandel]]))</f>
        <v>0.12171107341250041</v>
      </c>
      <c r="P68" s="34">
        <f>IF(Tabell2[[#This Row],[Eldreandel]]&lt;=G$434,G$434,IF(Tabell2[[#This Row],[Eldreandel]]&gt;=G$435,G$435,Tabell2[[#This Row],[Eldreandel]]))</f>
        <v>0.16106177028240695</v>
      </c>
      <c r="Q68" s="34">
        <f>IF(Tabell2[[#This Row],[Sysselsettingsvekst10]]&lt;=H$434,H$434,IF(Tabell2[[#This Row],[Sysselsettingsvekst10]]&gt;=H$435,H$435,Tabell2[[#This Row],[Sysselsettingsvekst10]]))</f>
        <v>8.8268083152993615E-2</v>
      </c>
      <c r="R68" s="34">
        <f>IF(Tabell2[[#This Row],[Yrkesaktivandel]]&lt;=I$434,I$434,IF(Tabell2[[#This Row],[Yrkesaktivandel]]&gt;=I$435,I$435,Tabell2[[#This Row],[Yrkesaktivandel]]))</f>
        <v>0.84760933605257194</v>
      </c>
      <c r="S68" s="22">
        <f>IF(Tabell2[[#This Row],[Inntekt]]&lt;=J$434,J$434,IF(Tabell2[[#This Row],[Inntekt]]&gt;=J$435,J$435,Tabell2[[#This Row],[Inntekt]]))</f>
        <v>362100</v>
      </c>
      <c r="T68" s="22">
        <f>IF(Tabell2[[#This Row],[NIBR11-T]]&lt;=K$437,100,IF(Tabell2[[#This Row],[NIBR11-T]]&gt;=K$436,0,100*(K$436-Tabell2[[#This Row],[NIBR11-T]])/K$439))</f>
        <v>70</v>
      </c>
      <c r="U68" s="7">
        <f>IF(Tabell2[[#This Row],[ReisetidOslo-T]]&lt;=L$437,100,IF(Tabell2[[#This Row],[ReisetidOslo-T]]&gt;=L$436,0,100*(L$436-Tabell2[[#This Row],[ReisetidOslo-T]])/L$439))</f>
        <v>77.39963436928933</v>
      </c>
      <c r="V68" s="7">
        <f>100-(M$436-Tabell2[[#This Row],[Beftettotal-T]])*100/M$439</f>
        <v>33.565389392682832</v>
      </c>
      <c r="W68" s="7">
        <f>100-(N$436-Tabell2[[#This Row],[Befvekst10-T]])*100/N$439</f>
        <v>65.848891941220245</v>
      </c>
      <c r="X68" s="7">
        <f>100-(O$436-Tabell2[[#This Row],[Kvinneandel-T]])*100/O$439</f>
        <v>82.50058701190585</v>
      </c>
      <c r="Y68" s="7">
        <f>(P$436-Tabell2[[#This Row],[Eldreandel-T]])*100/P$439</f>
        <v>58.428953468249361</v>
      </c>
      <c r="Z68" s="7">
        <f>100-(Q$436-Tabell2[[#This Row],[Sysselsettingsvekst10-T]])*100/Q$439</f>
        <v>47.011927843190342</v>
      </c>
      <c r="AA68" s="7">
        <f>100-(R$436-Tabell2[[#This Row],[Yrkesaktivandel-T]])*100/R$439</f>
        <v>12.020705687755665</v>
      </c>
      <c r="AB68" s="7">
        <f>100-(S$436-Tabell2[[#This Row],[Inntekt-T]])*100/S$439</f>
        <v>35.361040167169719</v>
      </c>
      <c r="AC68" s="55">
        <f>Tabell2[[#This Row],[NIBR11-I]]*Vekter!$B$3</f>
        <v>14</v>
      </c>
      <c r="AD68" s="55">
        <f>Tabell2[[#This Row],[ReisetidOslo-I]]*Vekter!$C$3</f>
        <v>7.7399634369289334</v>
      </c>
      <c r="AE68" s="55">
        <f>Tabell2[[#This Row],[Beftettotal-I]]*Vekter!$D$3</f>
        <v>3.3565389392682832</v>
      </c>
      <c r="AF68" s="55">
        <f>Tabell2[[#This Row],[Befvekst10-I]]*Vekter!$E$3</f>
        <v>13.169778388244049</v>
      </c>
      <c r="AG68" s="55">
        <f>Tabell2[[#This Row],[Kvinneandel-I]]*Vekter!$F$3</f>
        <v>4.1250293505952929</v>
      </c>
      <c r="AH68" s="55">
        <f>Tabell2[[#This Row],[Eldreandel-I]]*Vekter!$G$3</f>
        <v>2.9214476734124681</v>
      </c>
      <c r="AI68" s="55">
        <f>Tabell2[[#This Row],[Sysselsettingsvekst10-I]]*Vekter!$H$3</f>
        <v>4.7011927843190344</v>
      </c>
      <c r="AJ68" s="55">
        <f>Tabell2[[#This Row],[Yrkesaktivandel-I]]*Vekter!$J$3</f>
        <v>1.2020705687755666</v>
      </c>
      <c r="AK68" s="55">
        <f>Tabell2[[#This Row],[Inntekt-I]]*Vekter!$L$3</f>
        <v>3.5361040167169722</v>
      </c>
      <c r="AL68" s="56">
        <f>SUM(Tabell2[[#This Row],[NIBR11-v]:[Inntekt-v]])</f>
        <v>54.75212515826059</v>
      </c>
    </row>
    <row r="69" spans="1:38" x14ac:dyDescent="0.25">
      <c r="A69" s="2" t="s">
        <v>66</v>
      </c>
      <c r="B69">
        <f>'Rådata-K'!M68</f>
        <v>10</v>
      </c>
      <c r="C69" s="7">
        <f>'Rådata-K'!L68</f>
        <v>238.68333333300001</v>
      </c>
      <c r="D69" s="34">
        <f>'Rådata-K'!N68</f>
        <v>2.0118880965119943</v>
      </c>
      <c r="E69" s="34">
        <f>'Rådata-K'!O68</f>
        <v>-4.5217391304347876E-2</v>
      </c>
      <c r="F69" s="34">
        <f>'Rådata-K'!P68</f>
        <v>9.143897996357013E-2</v>
      </c>
      <c r="G69" s="34">
        <f>'Rådata-K'!Q68</f>
        <v>0.20255009107468125</v>
      </c>
      <c r="H69" s="34">
        <f>'Rådata-K'!R68</f>
        <v>1.7189835575485812E-2</v>
      </c>
      <c r="I69" s="34">
        <f>'Rådata-K'!S68</f>
        <v>0.90860927152317883</v>
      </c>
      <c r="J69" s="22">
        <f>'Rådata-K'!K68</f>
        <v>332800</v>
      </c>
      <c r="K69" s="22">
        <f>Tabell2[[#This Row],[NIBR11]]</f>
        <v>10</v>
      </c>
      <c r="L69" s="32">
        <f>IF(Tabell2[[#This Row],[ReisetidOslo]]&lt;=C$434,C$434,IF(Tabell2[[#This Row],[ReisetidOslo]]&gt;=C$435,C$435,Tabell2[[#This Row],[ReisetidOslo]]))</f>
        <v>238.68333333300001</v>
      </c>
      <c r="M69" s="32">
        <f>IF(Tabell2[[#This Row],[Beftettotal]]&lt;=D$434,D$434,IF(Tabell2[[#This Row],[Beftettotal]]&gt;=D$435,D$435,Tabell2[[#This Row],[Beftettotal]]))</f>
        <v>2.0118880965119943</v>
      </c>
      <c r="N69" s="34">
        <f>IF(Tabell2[[#This Row],[Befvekst10]]&lt;=E$434,E$434,IF(Tabell2[[#This Row],[Befvekst10]]&gt;=E$435,E$435,Tabell2[[#This Row],[Befvekst10]]))</f>
        <v>-4.5217391304347876E-2</v>
      </c>
      <c r="O69" s="34">
        <f>IF(Tabell2[[#This Row],[Kvinneandel]]&lt;=F$434,F$434,IF(Tabell2[[#This Row],[Kvinneandel]]&gt;=F$435,F$435,Tabell2[[#This Row],[Kvinneandel]]))</f>
        <v>9.143897996357013E-2</v>
      </c>
      <c r="P69" s="34">
        <f>IF(Tabell2[[#This Row],[Eldreandel]]&lt;=G$434,G$434,IF(Tabell2[[#This Row],[Eldreandel]]&gt;=G$435,G$435,Tabell2[[#This Row],[Eldreandel]]))</f>
        <v>0.20255009107468125</v>
      </c>
      <c r="Q69" s="34">
        <f>IF(Tabell2[[#This Row],[Sysselsettingsvekst10]]&lt;=H$434,H$434,IF(Tabell2[[#This Row],[Sysselsettingsvekst10]]&gt;=H$435,H$435,Tabell2[[#This Row],[Sysselsettingsvekst10]]))</f>
        <v>1.7189835575485812E-2</v>
      </c>
      <c r="R69" s="34">
        <f>IF(Tabell2[[#This Row],[Yrkesaktivandel]]&lt;=I$434,I$434,IF(Tabell2[[#This Row],[Yrkesaktivandel]]&gt;=I$435,I$435,Tabell2[[#This Row],[Yrkesaktivandel]]))</f>
        <v>0.90860927152317883</v>
      </c>
      <c r="S69" s="22">
        <f>IF(Tabell2[[#This Row],[Inntekt]]&lt;=J$434,J$434,IF(Tabell2[[#This Row],[Inntekt]]&gt;=J$435,J$435,Tabell2[[#This Row],[Inntekt]]))</f>
        <v>332800</v>
      </c>
      <c r="T69" s="22">
        <f>IF(Tabell2[[#This Row],[NIBR11-T]]&lt;=K$437,100,IF(Tabell2[[#This Row],[NIBR11-T]]&gt;=K$436,0,100*(K$436-Tabell2[[#This Row],[NIBR11-T]])/K$439))</f>
        <v>10</v>
      </c>
      <c r="U69" s="7">
        <f>IF(Tabell2[[#This Row],[ReisetidOslo-T]]&lt;=L$437,100,IF(Tabell2[[#This Row],[ReisetidOslo-T]]&gt;=L$436,0,100*(L$436-Tabell2[[#This Row],[ReisetidOslo-T]])/L$439))</f>
        <v>18.328336380410555</v>
      </c>
      <c r="V69" s="7">
        <f>100-(M$436-Tabell2[[#This Row],[Beftettotal-T]])*100/M$439</f>
        <v>0.5276649845984025</v>
      </c>
      <c r="W69" s="7">
        <f>100-(N$436-Tabell2[[#This Row],[Befvekst10-T]])*100/N$439</f>
        <v>12.47318322977361</v>
      </c>
      <c r="X69" s="7">
        <f>100-(O$436-Tabell2[[#This Row],[Kvinneandel-T]])*100/O$439</f>
        <v>2.5071410360383339</v>
      </c>
      <c r="Y69" s="7">
        <f>(P$436-Tabell2[[#This Row],[Eldreandel-T]])*100/P$439</f>
        <v>12.968045540153568</v>
      </c>
      <c r="Z69" s="7">
        <f>100-(Q$436-Tabell2[[#This Row],[Sysselsettingsvekst10-T]])*100/Q$439</f>
        <v>25.863241756366691</v>
      </c>
      <c r="AA69" s="7">
        <f>100-(R$436-Tabell2[[#This Row],[Yrkesaktivandel-T]])*100/R$439</f>
        <v>58.923052743638848</v>
      </c>
      <c r="AB69" s="7">
        <f>100-(S$436-Tabell2[[#This Row],[Inntekt-T]])*100/S$439</f>
        <v>1.3466449965172984</v>
      </c>
      <c r="AC69" s="55">
        <f>Tabell2[[#This Row],[NIBR11-I]]*Vekter!$B$3</f>
        <v>2</v>
      </c>
      <c r="AD69" s="55">
        <f>Tabell2[[#This Row],[ReisetidOslo-I]]*Vekter!$C$3</f>
        <v>1.8328336380410555</v>
      </c>
      <c r="AE69" s="55">
        <f>Tabell2[[#This Row],[Beftettotal-I]]*Vekter!$D$3</f>
        <v>5.2766498459840251E-2</v>
      </c>
      <c r="AF69" s="55">
        <f>Tabell2[[#This Row],[Befvekst10-I]]*Vekter!$E$3</f>
        <v>2.4946366459547225</v>
      </c>
      <c r="AG69" s="55">
        <f>Tabell2[[#This Row],[Kvinneandel-I]]*Vekter!$F$3</f>
        <v>0.1253570518019167</v>
      </c>
      <c r="AH69" s="55">
        <f>Tabell2[[#This Row],[Eldreandel-I]]*Vekter!$G$3</f>
        <v>0.6484022770076785</v>
      </c>
      <c r="AI69" s="55">
        <f>Tabell2[[#This Row],[Sysselsettingsvekst10-I]]*Vekter!$H$3</f>
        <v>2.5863241756366691</v>
      </c>
      <c r="AJ69" s="55">
        <f>Tabell2[[#This Row],[Yrkesaktivandel-I]]*Vekter!$J$3</f>
        <v>5.8923052743638848</v>
      </c>
      <c r="AK69" s="55">
        <f>Tabell2[[#This Row],[Inntekt-I]]*Vekter!$L$3</f>
        <v>0.13466449965172986</v>
      </c>
      <c r="AL69" s="56">
        <f>SUM(Tabell2[[#This Row],[NIBR11-v]:[Inntekt-v]])</f>
        <v>15.767290060917498</v>
      </c>
    </row>
    <row r="70" spans="1:38" x14ac:dyDescent="0.25">
      <c r="A70" s="2" t="s">
        <v>67</v>
      </c>
      <c r="B70">
        <f>'Rådata-K'!M69</f>
        <v>10</v>
      </c>
      <c r="C70" s="7">
        <f>'Rådata-K'!L69</f>
        <v>260.60000000000002</v>
      </c>
      <c r="D70" s="34">
        <f>'Rådata-K'!N69</f>
        <v>0.91126355388360258</v>
      </c>
      <c r="E70" s="34">
        <f>'Rådata-K'!O69</f>
        <v>-5.7234432234432253E-2</v>
      </c>
      <c r="F70" s="34">
        <f>'Rådata-K'!P69</f>
        <v>9.5677513355998056E-2</v>
      </c>
      <c r="G70" s="34">
        <f>'Rådata-K'!Q69</f>
        <v>0.195726080621661</v>
      </c>
      <c r="H70" s="34">
        <f>'Rådata-K'!R69</f>
        <v>-4.0086673889490831E-2</v>
      </c>
      <c r="I70" s="34">
        <f>'Rådata-K'!S69</f>
        <v>0.9717314487632509</v>
      </c>
      <c r="J70" s="22">
        <f>'Rådata-K'!K69</f>
        <v>342600</v>
      </c>
      <c r="K70" s="22">
        <f>Tabell2[[#This Row],[NIBR11]]</f>
        <v>10</v>
      </c>
      <c r="L70" s="32">
        <f>IF(Tabell2[[#This Row],[ReisetidOslo]]&lt;=C$434,C$434,IF(Tabell2[[#This Row],[ReisetidOslo]]&gt;=C$435,C$435,Tabell2[[#This Row],[ReisetidOslo]]))</f>
        <v>260.60000000000002</v>
      </c>
      <c r="M70" s="32">
        <f>IF(Tabell2[[#This Row],[Beftettotal]]&lt;=D$434,D$434,IF(Tabell2[[#This Row],[Beftettotal]]&gt;=D$435,D$435,Tabell2[[#This Row],[Beftettotal]]))</f>
        <v>1.3297721240876861</v>
      </c>
      <c r="N70" s="34">
        <f>IF(Tabell2[[#This Row],[Befvekst10]]&lt;=E$434,E$434,IF(Tabell2[[#This Row],[Befvekst10]]&gt;=E$435,E$435,Tabell2[[#This Row],[Befvekst10]]))</f>
        <v>-5.7234432234432253E-2</v>
      </c>
      <c r="O70" s="34">
        <f>IF(Tabell2[[#This Row],[Kvinneandel]]&lt;=F$434,F$434,IF(Tabell2[[#This Row],[Kvinneandel]]&gt;=F$435,F$435,Tabell2[[#This Row],[Kvinneandel]]))</f>
        <v>9.5677513355998056E-2</v>
      </c>
      <c r="P70" s="34">
        <f>IF(Tabell2[[#This Row],[Eldreandel]]&lt;=G$434,G$434,IF(Tabell2[[#This Row],[Eldreandel]]&gt;=G$435,G$435,Tabell2[[#This Row],[Eldreandel]]))</f>
        <v>0.195726080621661</v>
      </c>
      <c r="Q70" s="34">
        <f>IF(Tabell2[[#This Row],[Sysselsettingsvekst10]]&lt;=H$434,H$434,IF(Tabell2[[#This Row],[Sysselsettingsvekst10]]&gt;=H$435,H$435,Tabell2[[#This Row],[Sysselsettingsvekst10]]))</f>
        <v>-4.0086673889490831E-2</v>
      </c>
      <c r="R70" s="34">
        <f>IF(Tabell2[[#This Row],[Yrkesaktivandel]]&lt;=I$434,I$434,IF(Tabell2[[#This Row],[Yrkesaktivandel]]&gt;=I$435,I$435,Tabell2[[#This Row],[Yrkesaktivandel]]))</f>
        <v>0.96203284815106216</v>
      </c>
      <c r="S70" s="22">
        <f>IF(Tabell2[[#This Row],[Inntekt]]&lt;=J$434,J$434,IF(Tabell2[[#This Row],[Inntekt]]&gt;=J$435,J$435,Tabell2[[#This Row],[Inntekt]]))</f>
        <v>342600</v>
      </c>
      <c r="T70" s="22">
        <f>IF(Tabell2[[#This Row],[NIBR11-T]]&lt;=K$437,100,IF(Tabell2[[#This Row],[NIBR11-T]]&gt;=K$436,0,100*(K$436-Tabell2[[#This Row],[NIBR11-T]])/K$439))</f>
        <v>10</v>
      </c>
      <c r="U70" s="7">
        <f>IF(Tabell2[[#This Row],[ReisetidOslo-T]]&lt;=L$437,100,IF(Tabell2[[#This Row],[ReisetidOslo-T]]&gt;=L$436,0,100*(L$436-Tabell2[[#This Row],[ReisetidOslo-T]])/L$439))</f>
        <v>8.7122486288941658</v>
      </c>
      <c r="V70" s="7">
        <f>100-(M$436-Tabell2[[#This Row],[Beftettotal-T]])*100/M$439</f>
        <v>0</v>
      </c>
      <c r="W70" s="7">
        <f>100-(N$436-Tabell2[[#This Row],[Befvekst10-T]])*100/N$439</f>
        <v>7.6346832778811518</v>
      </c>
      <c r="X70" s="7">
        <f>100-(O$436-Tabell2[[#This Row],[Kvinneandel-T]])*100/O$439</f>
        <v>13.707386982559584</v>
      </c>
      <c r="Y70" s="7">
        <f>(P$436-Tabell2[[#This Row],[Eldreandel-T]])*100/P$439</f>
        <v>20.445468221547923</v>
      </c>
      <c r="Z70" s="7">
        <f>100-(Q$436-Tabell2[[#This Row],[Sysselsettingsvekst10-T]])*100/Q$439</f>
        <v>8.8211373136132636</v>
      </c>
      <c r="AA70" s="7">
        <f>100-(R$436-Tabell2[[#This Row],[Yrkesaktivandel-T]])*100/R$439</f>
        <v>100</v>
      </c>
      <c r="AB70" s="7">
        <f>100-(S$436-Tabell2[[#This Row],[Inntekt-T]])*100/S$439</f>
        <v>12.723473415370322</v>
      </c>
      <c r="AC70" s="55">
        <f>Tabell2[[#This Row],[NIBR11-I]]*Vekter!$B$3</f>
        <v>2</v>
      </c>
      <c r="AD70" s="55">
        <f>Tabell2[[#This Row],[ReisetidOslo-I]]*Vekter!$C$3</f>
        <v>0.87122486288941658</v>
      </c>
      <c r="AE70" s="55">
        <f>Tabell2[[#This Row],[Beftettotal-I]]*Vekter!$D$3</f>
        <v>0</v>
      </c>
      <c r="AF70" s="55">
        <f>Tabell2[[#This Row],[Befvekst10-I]]*Vekter!$E$3</f>
        <v>1.5269366555762305</v>
      </c>
      <c r="AG70" s="55">
        <f>Tabell2[[#This Row],[Kvinneandel-I]]*Vekter!$F$3</f>
        <v>0.6853693491279792</v>
      </c>
      <c r="AH70" s="55">
        <f>Tabell2[[#This Row],[Eldreandel-I]]*Vekter!$G$3</f>
        <v>1.0222734110773961</v>
      </c>
      <c r="AI70" s="55">
        <f>Tabell2[[#This Row],[Sysselsettingsvekst10-I]]*Vekter!$H$3</f>
        <v>0.88211373136132643</v>
      </c>
      <c r="AJ70" s="55">
        <f>Tabell2[[#This Row],[Yrkesaktivandel-I]]*Vekter!$J$3</f>
        <v>10</v>
      </c>
      <c r="AK70" s="55">
        <f>Tabell2[[#This Row],[Inntekt-I]]*Vekter!$L$3</f>
        <v>1.2723473415370323</v>
      </c>
      <c r="AL70" s="56">
        <f>SUM(Tabell2[[#This Row],[NIBR11-v]:[Inntekt-v]])</f>
        <v>18.26026535156938</v>
      </c>
    </row>
    <row r="71" spans="1:38" x14ac:dyDescent="0.25">
      <c r="A71" s="2" t="s">
        <v>68</v>
      </c>
      <c r="B71">
        <f>'Rådata-K'!M70</f>
        <v>10</v>
      </c>
      <c r="C71" s="7">
        <f>'Rådata-K'!L70</f>
        <v>267.39999999999998</v>
      </c>
      <c r="D71" s="34">
        <f>'Rådata-K'!N70</f>
        <v>1.0816514336097287</v>
      </c>
      <c r="E71" s="34">
        <f>'Rådata-K'!O70</f>
        <v>-6.2238930659983316E-2</v>
      </c>
      <c r="F71" s="34">
        <f>'Rådata-K'!P70</f>
        <v>9.7550111358574609E-2</v>
      </c>
      <c r="G71" s="34">
        <f>'Rådata-K'!Q70</f>
        <v>0.20935412026726058</v>
      </c>
      <c r="H71" s="34">
        <f>'Rådata-K'!R70</f>
        <v>1.0270774976657293E-2</v>
      </c>
      <c r="I71" s="34">
        <f>'Rådata-K'!S70</f>
        <v>0.95931651749389746</v>
      </c>
      <c r="J71" s="22">
        <f>'Rådata-K'!K70</f>
        <v>337800</v>
      </c>
      <c r="K71" s="22">
        <f>Tabell2[[#This Row],[NIBR11]]</f>
        <v>10</v>
      </c>
      <c r="L71" s="32">
        <f>IF(Tabell2[[#This Row],[ReisetidOslo]]&lt;=C$434,C$434,IF(Tabell2[[#This Row],[ReisetidOslo]]&gt;=C$435,C$435,Tabell2[[#This Row],[ReisetidOslo]]))</f>
        <v>267.39999999999998</v>
      </c>
      <c r="M71" s="32">
        <f>IF(Tabell2[[#This Row],[Beftettotal]]&lt;=D$434,D$434,IF(Tabell2[[#This Row],[Beftettotal]]&gt;=D$435,D$435,Tabell2[[#This Row],[Beftettotal]]))</f>
        <v>1.3297721240876861</v>
      </c>
      <c r="N71" s="34">
        <f>IF(Tabell2[[#This Row],[Befvekst10]]&lt;=E$434,E$434,IF(Tabell2[[#This Row],[Befvekst10]]&gt;=E$435,E$435,Tabell2[[#This Row],[Befvekst10]]))</f>
        <v>-6.2238930659983316E-2</v>
      </c>
      <c r="O71" s="34">
        <f>IF(Tabell2[[#This Row],[Kvinneandel]]&lt;=F$434,F$434,IF(Tabell2[[#This Row],[Kvinneandel]]&gt;=F$435,F$435,Tabell2[[#This Row],[Kvinneandel]]))</f>
        <v>9.7550111358574609E-2</v>
      </c>
      <c r="P71" s="34">
        <f>IF(Tabell2[[#This Row],[Eldreandel]]&lt;=G$434,G$434,IF(Tabell2[[#This Row],[Eldreandel]]&gt;=G$435,G$435,Tabell2[[#This Row],[Eldreandel]]))</f>
        <v>0.20935412026726058</v>
      </c>
      <c r="Q71" s="34">
        <f>IF(Tabell2[[#This Row],[Sysselsettingsvekst10]]&lt;=H$434,H$434,IF(Tabell2[[#This Row],[Sysselsettingsvekst10]]&gt;=H$435,H$435,Tabell2[[#This Row],[Sysselsettingsvekst10]]))</f>
        <v>1.0270774976657293E-2</v>
      </c>
      <c r="R71" s="34">
        <f>IF(Tabell2[[#This Row],[Yrkesaktivandel]]&lt;=I$434,I$434,IF(Tabell2[[#This Row],[Yrkesaktivandel]]&gt;=I$435,I$435,Tabell2[[#This Row],[Yrkesaktivandel]]))</f>
        <v>0.95931651749389746</v>
      </c>
      <c r="S71" s="22">
        <f>IF(Tabell2[[#This Row],[Inntekt]]&lt;=J$434,J$434,IF(Tabell2[[#This Row],[Inntekt]]&gt;=J$435,J$435,Tabell2[[#This Row],[Inntekt]]))</f>
        <v>337800</v>
      </c>
      <c r="T71" s="22">
        <f>IF(Tabell2[[#This Row],[NIBR11-T]]&lt;=K$437,100,IF(Tabell2[[#This Row],[NIBR11-T]]&gt;=K$436,0,100*(K$436-Tabell2[[#This Row],[NIBR11-T]])/K$439))</f>
        <v>10</v>
      </c>
      <c r="U71" s="7">
        <f>IF(Tabell2[[#This Row],[ReisetidOslo-T]]&lt;=L$437,100,IF(Tabell2[[#This Row],[ReisetidOslo-T]]&gt;=L$436,0,100*(L$436-Tabell2[[#This Row],[ReisetidOslo-T]])/L$439))</f>
        <v>5.7287020109785871</v>
      </c>
      <c r="V71" s="7">
        <f>100-(M$436-Tabell2[[#This Row],[Beftettotal-T]])*100/M$439</f>
        <v>0</v>
      </c>
      <c r="W71" s="7">
        <f>100-(N$436-Tabell2[[#This Row],[Befvekst10-T]])*100/N$439</f>
        <v>5.6196892762667545</v>
      </c>
      <c r="X71" s="7">
        <f>100-(O$436-Tabell2[[#This Row],[Kvinneandel-T]])*100/O$439</f>
        <v>18.655692503825676</v>
      </c>
      <c r="Y71" s="7">
        <f>(P$436-Tabell2[[#This Row],[Eldreandel-T]])*100/P$439</f>
        <v>5.5125173636185449</v>
      </c>
      <c r="Z71" s="7">
        <f>100-(Q$436-Tabell2[[#This Row],[Sysselsettingsvekst10-T]])*100/Q$439</f>
        <v>23.804538206300009</v>
      </c>
      <c r="AA71" s="7">
        <f>100-(R$436-Tabell2[[#This Row],[Yrkesaktivandel-T]])*100/R$439</f>
        <v>97.911435770907275</v>
      </c>
      <c r="AB71" s="7">
        <f>100-(S$436-Tabell2[[#This Row],[Inntekt-T]])*100/S$439</f>
        <v>7.1511492918504729</v>
      </c>
      <c r="AC71" s="55">
        <f>Tabell2[[#This Row],[NIBR11-I]]*Vekter!$B$3</f>
        <v>2</v>
      </c>
      <c r="AD71" s="55">
        <f>Tabell2[[#This Row],[ReisetidOslo-I]]*Vekter!$C$3</f>
        <v>0.57287020109785869</v>
      </c>
      <c r="AE71" s="55">
        <f>Tabell2[[#This Row],[Beftettotal-I]]*Vekter!$D$3</f>
        <v>0</v>
      </c>
      <c r="AF71" s="55">
        <f>Tabell2[[#This Row],[Befvekst10-I]]*Vekter!$E$3</f>
        <v>1.123937855253351</v>
      </c>
      <c r="AG71" s="55">
        <f>Tabell2[[#This Row],[Kvinneandel-I]]*Vekter!$F$3</f>
        <v>0.93278462519128391</v>
      </c>
      <c r="AH71" s="55">
        <f>Tabell2[[#This Row],[Eldreandel-I]]*Vekter!$G$3</f>
        <v>0.27562586818092727</v>
      </c>
      <c r="AI71" s="55">
        <f>Tabell2[[#This Row],[Sysselsettingsvekst10-I]]*Vekter!$H$3</f>
        <v>2.380453820630001</v>
      </c>
      <c r="AJ71" s="55">
        <f>Tabell2[[#This Row],[Yrkesaktivandel-I]]*Vekter!$J$3</f>
        <v>9.7911435770907289</v>
      </c>
      <c r="AK71" s="55">
        <f>Tabell2[[#This Row],[Inntekt-I]]*Vekter!$L$3</f>
        <v>0.71511492918504738</v>
      </c>
      <c r="AL71" s="56">
        <f>SUM(Tabell2[[#This Row],[NIBR11-v]:[Inntekt-v]])</f>
        <v>17.791930876629202</v>
      </c>
    </row>
    <row r="72" spans="1:38" x14ac:dyDescent="0.25">
      <c r="A72" s="2" t="s">
        <v>69</v>
      </c>
      <c r="B72">
        <f>'Rådata-K'!M71</f>
        <v>10</v>
      </c>
      <c r="C72" s="7">
        <f>'Rådata-K'!L71</f>
        <v>251.966666667</v>
      </c>
      <c r="D72" s="34">
        <f>'Rådata-K'!N71</f>
        <v>1.1968199944121307</v>
      </c>
      <c r="E72" s="34">
        <f>'Rådata-K'!O71</f>
        <v>-4.499391974057565E-2</v>
      </c>
      <c r="F72" s="34">
        <f>'Rådata-K'!P71</f>
        <v>9.4651952461799665E-2</v>
      </c>
      <c r="G72" s="34">
        <f>'Rådata-K'!Q71</f>
        <v>0.18208828522920203</v>
      </c>
      <c r="H72" s="34">
        <f>'Rådata-K'!R71</f>
        <v>-0.10820895522388063</v>
      </c>
      <c r="I72" s="34">
        <f>'Rådata-K'!S71</f>
        <v>0.94717261904761907</v>
      </c>
      <c r="J72" s="22">
        <f>'Rådata-K'!K71</f>
        <v>338400</v>
      </c>
      <c r="K72" s="22">
        <f>Tabell2[[#This Row],[NIBR11]]</f>
        <v>10</v>
      </c>
      <c r="L72" s="32">
        <f>IF(Tabell2[[#This Row],[ReisetidOslo]]&lt;=C$434,C$434,IF(Tabell2[[#This Row],[ReisetidOslo]]&gt;=C$435,C$435,Tabell2[[#This Row],[ReisetidOslo]]))</f>
        <v>251.966666667</v>
      </c>
      <c r="M72" s="32">
        <f>IF(Tabell2[[#This Row],[Beftettotal]]&lt;=D$434,D$434,IF(Tabell2[[#This Row],[Beftettotal]]&gt;=D$435,D$435,Tabell2[[#This Row],[Beftettotal]]))</f>
        <v>1.3297721240876861</v>
      </c>
      <c r="N72" s="34">
        <f>IF(Tabell2[[#This Row],[Befvekst10]]&lt;=E$434,E$434,IF(Tabell2[[#This Row],[Befvekst10]]&gt;=E$435,E$435,Tabell2[[#This Row],[Befvekst10]]))</f>
        <v>-4.499391974057565E-2</v>
      </c>
      <c r="O72" s="34">
        <f>IF(Tabell2[[#This Row],[Kvinneandel]]&lt;=F$434,F$434,IF(Tabell2[[#This Row],[Kvinneandel]]&gt;=F$435,F$435,Tabell2[[#This Row],[Kvinneandel]]))</f>
        <v>9.4651952461799665E-2</v>
      </c>
      <c r="P72" s="34">
        <f>IF(Tabell2[[#This Row],[Eldreandel]]&lt;=G$434,G$434,IF(Tabell2[[#This Row],[Eldreandel]]&gt;=G$435,G$435,Tabell2[[#This Row],[Eldreandel]]))</f>
        <v>0.18208828522920203</v>
      </c>
      <c r="Q72" s="34">
        <f>IF(Tabell2[[#This Row],[Sysselsettingsvekst10]]&lt;=H$434,H$434,IF(Tabell2[[#This Row],[Sysselsettingsvekst10]]&gt;=H$435,H$435,Tabell2[[#This Row],[Sysselsettingsvekst10]]))</f>
        <v>-6.9733479337269061E-2</v>
      </c>
      <c r="R72" s="34">
        <f>IF(Tabell2[[#This Row],[Yrkesaktivandel]]&lt;=I$434,I$434,IF(Tabell2[[#This Row],[Yrkesaktivandel]]&gt;=I$435,I$435,Tabell2[[#This Row],[Yrkesaktivandel]]))</f>
        <v>0.94717261904761907</v>
      </c>
      <c r="S72" s="22">
        <f>IF(Tabell2[[#This Row],[Inntekt]]&lt;=J$434,J$434,IF(Tabell2[[#This Row],[Inntekt]]&gt;=J$435,J$435,Tabell2[[#This Row],[Inntekt]]))</f>
        <v>338400</v>
      </c>
      <c r="T72" s="22">
        <f>IF(Tabell2[[#This Row],[NIBR11-T]]&lt;=K$437,100,IF(Tabell2[[#This Row],[NIBR11-T]]&gt;=K$436,0,100*(K$436-Tabell2[[#This Row],[NIBR11-T]])/K$439))</f>
        <v>10</v>
      </c>
      <c r="U72" s="7">
        <f>IF(Tabell2[[#This Row],[ReisetidOslo-T]]&lt;=L$437,100,IF(Tabell2[[#This Row],[ReisetidOslo-T]]&gt;=L$436,0,100*(L$436-Tabell2[[#This Row],[ReisetidOslo-T]])/L$439))</f>
        <v>12.500182815219199</v>
      </c>
      <c r="V72" s="7">
        <f>100-(M$436-Tabell2[[#This Row],[Beftettotal-T]])*100/M$439</f>
        <v>0</v>
      </c>
      <c r="W72" s="7">
        <f>100-(N$436-Tabell2[[#This Row],[Befvekst10-T]])*100/N$439</f>
        <v>12.563161050174841</v>
      </c>
      <c r="X72" s="7">
        <f>100-(O$436-Tabell2[[#This Row],[Kvinneandel-T]])*100/O$439</f>
        <v>10.997361323996472</v>
      </c>
      <c r="Y72" s="7">
        <f>(P$436-Tabell2[[#This Row],[Eldreandel-T]])*100/P$439</f>
        <v>35.389108958008769</v>
      </c>
      <c r="Z72" s="7">
        <f>100-(Q$436-Tabell2[[#This Row],[Sysselsettingsvekst10-T]])*100/Q$439</f>
        <v>0</v>
      </c>
      <c r="AA72" s="7">
        <f>100-(R$436-Tabell2[[#This Row],[Yrkesaktivandel-T]])*100/R$439</f>
        <v>88.574092458254057</v>
      </c>
      <c r="AB72" s="7">
        <f>100-(S$436-Tabell2[[#This Row],[Inntekt-T]])*100/S$439</f>
        <v>7.8476898072904504</v>
      </c>
      <c r="AC72" s="55">
        <f>Tabell2[[#This Row],[NIBR11-I]]*Vekter!$B$3</f>
        <v>2</v>
      </c>
      <c r="AD72" s="55">
        <f>Tabell2[[#This Row],[ReisetidOslo-I]]*Vekter!$C$3</f>
        <v>1.2500182815219201</v>
      </c>
      <c r="AE72" s="55">
        <f>Tabell2[[#This Row],[Beftettotal-I]]*Vekter!$D$3</f>
        <v>0</v>
      </c>
      <c r="AF72" s="55">
        <f>Tabell2[[#This Row],[Befvekst10-I]]*Vekter!$E$3</f>
        <v>2.5126322100349685</v>
      </c>
      <c r="AG72" s="55">
        <f>Tabell2[[#This Row],[Kvinneandel-I]]*Vekter!$F$3</f>
        <v>0.54986806619982365</v>
      </c>
      <c r="AH72" s="55">
        <f>Tabell2[[#This Row],[Eldreandel-I]]*Vekter!$G$3</f>
        <v>1.7694554479004385</v>
      </c>
      <c r="AI72" s="55">
        <f>Tabell2[[#This Row],[Sysselsettingsvekst10-I]]*Vekter!$H$3</f>
        <v>0</v>
      </c>
      <c r="AJ72" s="55">
        <f>Tabell2[[#This Row],[Yrkesaktivandel-I]]*Vekter!$J$3</f>
        <v>8.8574092458254068</v>
      </c>
      <c r="AK72" s="55">
        <f>Tabell2[[#This Row],[Inntekt-I]]*Vekter!$L$3</f>
        <v>0.78476898072904511</v>
      </c>
      <c r="AL72" s="56">
        <f>SUM(Tabell2[[#This Row],[NIBR11-v]:[Inntekt-v]])</f>
        <v>17.724152232211601</v>
      </c>
    </row>
    <row r="73" spans="1:38" x14ac:dyDescent="0.25">
      <c r="A73" s="2" t="s">
        <v>70</v>
      </c>
      <c r="B73">
        <f>'Rådata-K'!M72</f>
        <v>10</v>
      </c>
      <c r="C73" s="7">
        <f>'Rådata-K'!L72</f>
        <v>237.7</v>
      </c>
      <c r="D73" s="34">
        <f>'Rådata-K'!N72</f>
        <v>2.763157894736842</v>
      </c>
      <c r="E73" s="34">
        <f>'Rådata-K'!O72</f>
        <v>-2.5974025974025983E-2</v>
      </c>
      <c r="F73" s="34">
        <f>'Rådata-K'!P72</f>
        <v>0.10068027210884353</v>
      </c>
      <c r="G73" s="34">
        <f>'Rådata-K'!Q72</f>
        <v>0.20408163265306123</v>
      </c>
      <c r="H73" s="34">
        <f>'Rådata-K'!R72</f>
        <v>4.471544715447151E-2</v>
      </c>
      <c r="I73" s="34">
        <f>'Rådata-K'!S72</f>
        <v>0.92663316582914568</v>
      </c>
      <c r="J73" s="22">
        <f>'Rådata-K'!K72</f>
        <v>334000</v>
      </c>
      <c r="K73" s="22">
        <f>Tabell2[[#This Row],[NIBR11]]</f>
        <v>10</v>
      </c>
      <c r="L73" s="32">
        <f>IF(Tabell2[[#This Row],[ReisetidOslo]]&lt;=C$434,C$434,IF(Tabell2[[#This Row],[ReisetidOslo]]&gt;=C$435,C$435,Tabell2[[#This Row],[ReisetidOslo]]))</f>
        <v>237.7</v>
      </c>
      <c r="M73" s="32">
        <f>IF(Tabell2[[#This Row],[Beftettotal]]&lt;=D$434,D$434,IF(Tabell2[[#This Row],[Beftettotal]]&gt;=D$435,D$435,Tabell2[[#This Row],[Beftettotal]]))</f>
        <v>2.763157894736842</v>
      </c>
      <c r="N73" s="34">
        <f>IF(Tabell2[[#This Row],[Befvekst10]]&lt;=E$434,E$434,IF(Tabell2[[#This Row],[Befvekst10]]&gt;=E$435,E$435,Tabell2[[#This Row],[Befvekst10]]))</f>
        <v>-2.5974025974025983E-2</v>
      </c>
      <c r="O73" s="34">
        <f>IF(Tabell2[[#This Row],[Kvinneandel]]&lt;=F$434,F$434,IF(Tabell2[[#This Row],[Kvinneandel]]&gt;=F$435,F$435,Tabell2[[#This Row],[Kvinneandel]]))</f>
        <v>0.10068027210884353</v>
      </c>
      <c r="P73" s="34">
        <f>IF(Tabell2[[#This Row],[Eldreandel]]&lt;=G$434,G$434,IF(Tabell2[[#This Row],[Eldreandel]]&gt;=G$435,G$435,Tabell2[[#This Row],[Eldreandel]]))</f>
        <v>0.20408163265306123</v>
      </c>
      <c r="Q73" s="34">
        <f>IF(Tabell2[[#This Row],[Sysselsettingsvekst10]]&lt;=H$434,H$434,IF(Tabell2[[#This Row],[Sysselsettingsvekst10]]&gt;=H$435,H$435,Tabell2[[#This Row],[Sysselsettingsvekst10]]))</f>
        <v>4.471544715447151E-2</v>
      </c>
      <c r="R73" s="34">
        <f>IF(Tabell2[[#This Row],[Yrkesaktivandel]]&lt;=I$434,I$434,IF(Tabell2[[#This Row],[Yrkesaktivandel]]&gt;=I$435,I$435,Tabell2[[#This Row],[Yrkesaktivandel]]))</f>
        <v>0.92663316582914568</v>
      </c>
      <c r="S73" s="22">
        <f>IF(Tabell2[[#This Row],[Inntekt]]&lt;=J$434,J$434,IF(Tabell2[[#This Row],[Inntekt]]&gt;=J$435,J$435,Tabell2[[#This Row],[Inntekt]]))</f>
        <v>334000</v>
      </c>
      <c r="T73" s="22">
        <f>IF(Tabell2[[#This Row],[NIBR11-T]]&lt;=K$437,100,IF(Tabell2[[#This Row],[NIBR11-T]]&gt;=K$436,0,100*(K$436-Tabell2[[#This Row],[NIBR11-T]])/K$439))</f>
        <v>10</v>
      </c>
      <c r="U73" s="7">
        <f>IF(Tabell2[[#This Row],[ReisetidOslo-T]]&lt;=L$437,100,IF(Tabell2[[#This Row],[ReisetidOslo-T]]&gt;=L$436,0,100*(L$436-Tabell2[[#This Row],[ReisetidOslo-T]])/L$439))</f>
        <v>18.759780621580539</v>
      </c>
      <c r="V73" s="7">
        <f>100-(M$436-Tabell2[[#This Row],[Beftettotal-T]])*100/M$439</f>
        <v>1.1088253481369748</v>
      </c>
      <c r="W73" s="7">
        <f>100-(N$436-Tabell2[[#This Row],[Befvekst10-T]])*100/N$439</f>
        <v>20.221265537783012</v>
      </c>
      <c r="X73" s="7">
        <f>100-(O$436-Tabell2[[#This Row],[Kvinneandel-T]])*100/O$439</f>
        <v>26.927084282357143</v>
      </c>
      <c r="Y73" s="7">
        <f>(P$436-Tabell2[[#This Row],[Eldreandel-T]])*100/P$439</f>
        <v>11.289855886940416</v>
      </c>
      <c r="Z73" s="7">
        <f>100-(Q$436-Tabell2[[#This Row],[Sysselsettingsvekst10-T]])*100/Q$439</f>
        <v>34.053237127271387</v>
      </c>
      <c r="AA73" s="7">
        <f>100-(R$436-Tabell2[[#This Row],[Yrkesaktivandel-T]])*100/R$439</f>
        <v>72.781476355322113</v>
      </c>
      <c r="AB73" s="7">
        <f>100-(S$436-Tabell2[[#This Row],[Inntekt-T]])*100/S$439</f>
        <v>2.7397260273972535</v>
      </c>
      <c r="AC73" s="55">
        <f>Tabell2[[#This Row],[NIBR11-I]]*Vekter!$B$3</f>
        <v>2</v>
      </c>
      <c r="AD73" s="55">
        <f>Tabell2[[#This Row],[ReisetidOslo-I]]*Vekter!$C$3</f>
        <v>1.875978062158054</v>
      </c>
      <c r="AE73" s="55">
        <f>Tabell2[[#This Row],[Beftettotal-I]]*Vekter!$D$3</f>
        <v>0.11088253481369748</v>
      </c>
      <c r="AF73" s="55">
        <f>Tabell2[[#This Row],[Befvekst10-I]]*Vekter!$E$3</f>
        <v>4.0442531075566022</v>
      </c>
      <c r="AG73" s="55">
        <f>Tabell2[[#This Row],[Kvinneandel-I]]*Vekter!$F$3</f>
        <v>1.3463542141178573</v>
      </c>
      <c r="AH73" s="55">
        <f>Tabell2[[#This Row],[Eldreandel-I]]*Vekter!$G$3</f>
        <v>0.56449279434702082</v>
      </c>
      <c r="AI73" s="55">
        <f>Tabell2[[#This Row],[Sysselsettingsvekst10-I]]*Vekter!$H$3</f>
        <v>3.4053237127271387</v>
      </c>
      <c r="AJ73" s="55">
        <f>Tabell2[[#This Row],[Yrkesaktivandel-I]]*Vekter!$J$3</f>
        <v>7.2781476355322114</v>
      </c>
      <c r="AK73" s="55">
        <f>Tabell2[[#This Row],[Inntekt-I]]*Vekter!$L$3</f>
        <v>0.27397260273972535</v>
      </c>
      <c r="AL73" s="56">
        <f>SUM(Tabell2[[#This Row],[NIBR11-v]:[Inntekt-v]])</f>
        <v>20.899404663992307</v>
      </c>
    </row>
    <row r="74" spans="1:38" x14ac:dyDescent="0.25">
      <c r="A74" s="2" t="s">
        <v>71</v>
      </c>
      <c r="B74">
        <f>'Rådata-K'!M73</f>
        <v>8</v>
      </c>
      <c r="C74" s="7">
        <f>'Rådata-K'!L73</f>
        <v>187.43333333300001</v>
      </c>
      <c r="D74" s="34">
        <f>'Rådata-K'!N73</f>
        <v>5.0408241931527487</v>
      </c>
      <c r="E74" s="34">
        <f>'Rådata-K'!O73</f>
        <v>-2.4084124830393461E-2</v>
      </c>
      <c r="F74" s="34">
        <f>'Rådata-K'!P73</f>
        <v>9.3326381647549528E-2</v>
      </c>
      <c r="G74" s="34">
        <f>'Rådata-K'!Q73</f>
        <v>0.19516857838025722</v>
      </c>
      <c r="H74" s="34">
        <f>'Rådata-K'!R73</f>
        <v>4.4926413632842666E-2</v>
      </c>
      <c r="I74" s="34">
        <f>'Rådata-K'!S73</f>
        <v>0.90332705586942874</v>
      </c>
      <c r="J74" s="22">
        <f>'Rådata-K'!K73</f>
        <v>361400</v>
      </c>
      <c r="K74" s="22">
        <f>Tabell2[[#This Row],[NIBR11]]</f>
        <v>8</v>
      </c>
      <c r="L74" s="32">
        <f>IF(Tabell2[[#This Row],[ReisetidOslo]]&lt;=C$434,C$434,IF(Tabell2[[#This Row],[ReisetidOslo]]&gt;=C$435,C$435,Tabell2[[#This Row],[ReisetidOslo]]))</f>
        <v>187.43333333300001</v>
      </c>
      <c r="M74" s="32">
        <f>IF(Tabell2[[#This Row],[Beftettotal]]&lt;=D$434,D$434,IF(Tabell2[[#This Row],[Beftettotal]]&gt;=D$435,D$435,Tabell2[[#This Row],[Beftettotal]]))</f>
        <v>5.0408241931527487</v>
      </c>
      <c r="N74" s="34">
        <f>IF(Tabell2[[#This Row],[Befvekst10]]&lt;=E$434,E$434,IF(Tabell2[[#This Row],[Befvekst10]]&gt;=E$435,E$435,Tabell2[[#This Row],[Befvekst10]]))</f>
        <v>-2.4084124830393461E-2</v>
      </c>
      <c r="O74" s="34">
        <f>IF(Tabell2[[#This Row],[Kvinneandel]]&lt;=F$434,F$434,IF(Tabell2[[#This Row],[Kvinneandel]]&gt;=F$435,F$435,Tabell2[[#This Row],[Kvinneandel]]))</f>
        <v>9.3326381647549528E-2</v>
      </c>
      <c r="P74" s="34">
        <f>IF(Tabell2[[#This Row],[Eldreandel]]&lt;=G$434,G$434,IF(Tabell2[[#This Row],[Eldreandel]]&gt;=G$435,G$435,Tabell2[[#This Row],[Eldreandel]]))</f>
        <v>0.19516857838025722</v>
      </c>
      <c r="Q74" s="34">
        <f>IF(Tabell2[[#This Row],[Sysselsettingsvekst10]]&lt;=H$434,H$434,IF(Tabell2[[#This Row],[Sysselsettingsvekst10]]&gt;=H$435,H$435,Tabell2[[#This Row],[Sysselsettingsvekst10]]))</f>
        <v>4.4926413632842666E-2</v>
      </c>
      <c r="R74" s="34">
        <f>IF(Tabell2[[#This Row],[Yrkesaktivandel]]&lt;=I$434,I$434,IF(Tabell2[[#This Row],[Yrkesaktivandel]]&gt;=I$435,I$435,Tabell2[[#This Row],[Yrkesaktivandel]]))</f>
        <v>0.90332705586942874</v>
      </c>
      <c r="S74" s="22">
        <f>IF(Tabell2[[#This Row],[Inntekt]]&lt;=J$434,J$434,IF(Tabell2[[#This Row],[Inntekt]]&gt;=J$435,J$435,Tabell2[[#This Row],[Inntekt]]))</f>
        <v>361400</v>
      </c>
      <c r="T74" s="22">
        <f>IF(Tabell2[[#This Row],[NIBR11-T]]&lt;=K$437,100,IF(Tabell2[[#This Row],[NIBR11-T]]&gt;=K$436,0,100*(K$436-Tabell2[[#This Row],[NIBR11-T]])/K$439))</f>
        <v>30</v>
      </c>
      <c r="U74" s="7">
        <f>IF(Tabell2[[#This Row],[ReisetidOslo-T]]&lt;=L$437,100,IF(Tabell2[[#This Row],[ReisetidOslo-T]]&gt;=L$436,0,100*(L$436-Tabell2[[#This Row],[ReisetidOslo-T]])/L$439))</f>
        <v>40.81462522867151</v>
      </c>
      <c r="V74" s="7">
        <f>100-(M$436-Tabell2[[#This Row],[Beftettotal-T]])*100/M$439</f>
        <v>2.8707614423798589</v>
      </c>
      <c r="W74" s="7">
        <f>100-(N$436-Tabell2[[#This Row],[Befvekst10-T]])*100/N$439</f>
        <v>20.982208822053181</v>
      </c>
      <c r="X74" s="7">
        <f>100-(O$436-Tabell2[[#This Row],[Kvinneandel-T]])*100/O$439</f>
        <v>7.4945650110889375</v>
      </c>
      <c r="Y74" s="7">
        <f>(P$436-Tabell2[[#This Row],[Eldreandel-T]])*100/P$439</f>
        <v>21.056352383215021</v>
      </c>
      <c r="Z74" s="7">
        <f>100-(Q$436-Tabell2[[#This Row],[Sysselsettingsvekst10-T]])*100/Q$439</f>
        <v>34.116008284101738</v>
      </c>
      <c r="AA74" s="7">
        <f>100-(R$436-Tabell2[[#This Row],[Yrkesaktivandel-T]])*100/R$439</f>
        <v>54.861600712503765</v>
      </c>
      <c r="AB74" s="7">
        <f>100-(S$436-Tabell2[[#This Row],[Inntekt-T]])*100/S$439</f>
        <v>34.548409565823079</v>
      </c>
      <c r="AC74" s="55">
        <f>Tabell2[[#This Row],[NIBR11-I]]*Vekter!$B$3</f>
        <v>6</v>
      </c>
      <c r="AD74" s="55">
        <f>Tabell2[[#This Row],[ReisetidOslo-I]]*Vekter!$C$3</f>
        <v>4.0814625228671515</v>
      </c>
      <c r="AE74" s="55">
        <f>Tabell2[[#This Row],[Beftettotal-I]]*Vekter!$D$3</f>
        <v>0.28707614423798589</v>
      </c>
      <c r="AF74" s="55">
        <f>Tabell2[[#This Row],[Befvekst10-I]]*Vekter!$E$3</f>
        <v>4.1964417644106362</v>
      </c>
      <c r="AG74" s="55">
        <f>Tabell2[[#This Row],[Kvinneandel-I]]*Vekter!$F$3</f>
        <v>0.37472825055444692</v>
      </c>
      <c r="AH74" s="55">
        <f>Tabell2[[#This Row],[Eldreandel-I]]*Vekter!$G$3</f>
        <v>1.052817619160751</v>
      </c>
      <c r="AI74" s="55">
        <f>Tabell2[[#This Row],[Sysselsettingsvekst10-I]]*Vekter!$H$3</f>
        <v>3.4116008284101742</v>
      </c>
      <c r="AJ74" s="55">
        <f>Tabell2[[#This Row],[Yrkesaktivandel-I]]*Vekter!$J$3</f>
        <v>5.4861600712503771</v>
      </c>
      <c r="AK74" s="55">
        <f>Tabell2[[#This Row],[Inntekt-I]]*Vekter!$L$3</f>
        <v>3.4548409565823079</v>
      </c>
      <c r="AL74" s="56">
        <f>SUM(Tabell2[[#This Row],[NIBR11-v]:[Inntekt-v]])</f>
        <v>28.345128157473834</v>
      </c>
    </row>
    <row r="75" spans="1:38" x14ac:dyDescent="0.25">
      <c r="A75" s="2" t="s">
        <v>72</v>
      </c>
      <c r="B75">
        <f>'Rådata-K'!M74</f>
        <v>10</v>
      </c>
      <c r="C75" s="7">
        <f>'Rådata-K'!L74</f>
        <v>213.8</v>
      </c>
      <c r="D75" s="34">
        <f>'Rådata-K'!N74</f>
        <v>6.5916700739283707</v>
      </c>
      <c r="E75" s="34">
        <f>'Rådata-K'!O74</f>
        <v>-1.5514111239478434E-2</v>
      </c>
      <c r="F75" s="34">
        <f>'Rådata-K'!P74</f>
        <v>9.6563285834031856E-2</v>
      </c>
      <c r="G75" s="34">
        <f>'Rådata-K'!Q74</f>
        <v>0.18977367979882648</v>
      </c>
      <c r="H75" s="34">
        <f>'Rådata-K'!R74</f>
        <v>2.3648648648648685E-3</v>
      </c>
      <c r="I75" s="34">
        <f>'Rådata-K'!S74</f>
        <v>0.85936564931178938</v>
      </c>
      <c r="J75" s="22">
        <f>'Rådata-K'!K74</f>
        <v>319200</v>
      </c>
      <c r="K75" s="22">
        <f>Tabell2[[#This Row],[NIBR11]]</f>
        <v>10</v>
      </c>
      <c r="L75" s="32">
        <f>IF(Tabell2[[#This Row],[ReisetidOslo]]&lt;=C$434,C$434,IF(Tabell2[[#This Row],[ReisetidOslo]]&gt;=C$435,C$435,Tabell2[[#This Row],[ReisetidOslo]]))</f>
        <v>213.8</v>
      </c>
      <c r="M75" s="32">
        <f>IF(Tabell2[[#This Row],[Beftettotal]]&lt;=D$434,D$434,IF(Tabell2[[#This Row],[Beftettotal]]&gt;=D$435,D$435,Tabell2[[#This Row],[Beftettotal]]))</f>
        <v>6.5916700739283707</v>
      </c>
      <c r="N75" s="34">
        <f>IF(Tabell2[[#This Row],[Befvekst10]]&lt;=E$434,E$434,IF(Tabell2[[#This Row],[Befvekst10]]&gt;=E$435,E$435,Tabell2[[#This Row],[Befvekst10]]))</f>
        <v>-1.5514111239478434E-2</v>
      </c>
      <c r="O75" s="34">
        <f>IF(Tabell2[[#This Row],[Kvinneandel]]&lt;=F$434,F$434,IF(Tabell2[[#This Row],[Kvinneandel]]&gt;=F$435,F$435,Tabell2[[#This Row],[Kvinneandel]]))</f>
        <v>9.6563285834031856E-2</v>
      </c>
      <c r="P75" s="34">
        <f>IF(Tabell2[[#This Row],[Eldreandel]]&lt;=G$434,G$434,IF(Tabell2[[#This Row],[Eldreandel]]&gt;=G$435,G$435,Tabell2[[#This Row],[Eldreandel]]))</f>
        <v>0.18977367979882648</v>
      </c>
      <c r="Q75" s="34">
        <f>IF(Tabell2[[#This Row],[Sysselsettingsvekst10]]&lt;=H$434,H$434,IF(Tabell2[[#This Row],[Sysselsettingsvekst10]]&gt;=H$435,H$435,Tabell2[[#This Row],[Sysselsettingsvekst10]]))</f>
        <v>2.3648648648648685E-3</v>
      </c>
      <c r="R75" s="34">
        <f>IF(Tabell2[[#This Row],[Yrkesaktivandel]]&lt;=I$434,I$434,IF(Tabell2[[#This Row],[Yrkesaktivandel]]&gt;=I$435,I$435,Tabell2[[#This Row],[Yrkesaktivandel]]))</f>
        <v>0.85936564931178938</v>
      </c>
      <c r="S75" s="22">
        <f>IF(Tabell2[[#This Row],[Inntekt]]&lt;=J$434,J$434,IF(Tabell2[[#This Row],[Inntekt]]&gt;=J$435,J$435,Tabell2[[#This Row],[Inntekt]]))</f>
        <v>331640</v>
      </c>
      <c r="T75" s="22">
        <f>IF(Tabell2[[#This Row],[NIBR11-T]]&lt;=K$437,100,IF(Tabell2[[#This Row],[NIBR11-T]]&gt;=K$436,0,100*(K$436-Tabell2[[#This Row],[NIBR11-T]])/K$439))</f>
        <v>10</v>
      </c>
      <c r="U75" s="7">
        <f>IF(Tabell2[[#This Row],[ReisetidOslo-T]]&lt;=L$437,100,IF(Tabell2[[#This Row],[ReisetidOslo-T]]&gt;=L$436,0,100*(L$436-Tabell2[[#This Row],[ReisetidOslo-T]])/L$439))</f>
        <v>29.246069469842706</v>
      </c>
      <c r="V75" s="7">
        <f>100-(M$436-Tabell2[[#This Row],[Beftettotal-T]])*100/M$439</f>
        <v>4.0704504994848776</v>
      </c>
      <c r="W75" s="7">
        <f>100-(N$436-Tabell2[[#This Row],[Befvekst10-T]])*100/N$439</f>
        <v>24.432809563834041</v>
      </c>
      <c r="X75" s="7">
        <f>100-(O$436-Tabell2[[#This Row],[Kvinneandel-T]])*100/O$439</f>
        <v>16.04802434178427</v>
      </c>
      <c r="Y75" s="7">
        <f>(P$436-Tabell2[[#This Row],[Eldreandel-T]])*100/P$439</f>
        <v>26.967822961159165</v>
      </c>
      <c r="Z75" s="7">
        <f>100-(Q$436-Tabell2[[#This Row],[Sysselsettingsvekst10-T]])*100/Q$439</f>
        <v>21.452206559369358</v>
      </c>
      <c r="AA75" s="7">
        <f>100-(R$436-Tabell2[[#This Row],[Yrkesaktivandel-T]])*100/R$439</f>
        <v>21.06003794815112</v>
      </c>
      <c r="AB75" s="7">
        <f>100-(S$436-Tabell2[[#This Row],[Inntekt-T]])*100/S$439</f>
        <v>0</v>
      </c>
      <c r="AC75" s="55">
        <f>Tabell2[[#This Row],[NIBR11-I]]*Vekter!$B$3</f>
        <v>2</v>
      </c>
      <c r="AD75" s="55">
        <f>Tabell2[[#This Row],[ReisetidOslo-I]]*Vekter!$C$3</f>
        <v>2.9246069469842708</v>
      </c>
      <c r="AE75" s="55">
        <f>Tabell2[[#This Row],[Beftettotal-I]]*Vekter!$D$3</f>
        <v>0.40704504994848778</v>
      </c>
      <c r="AF75" s="55">
        <f>Tabell2[[#This Row],[Befvekst10-I]]*Vekter!$E$3</f>
        <v>4.8865619127668083</v>
      </c>
      <c r="AG75" s="55">
        <f>Tabell2[[#This Row],[Kvinneandel-I]]*Vekter!$F$3</f>
        <v>0.80240121708921353</v>
      </c>
      <c r="AH75" s="55">
        <f>Tabell2[[#This Row],[Eldreandel-I]]*Vekter!$G$3</f>
        <v>1.3483911480579582</v>
      </c>
      <c r="AI75" s="55">
        <f>Tabell2[[#This Row],[Sysselsettingsvekst10-I]]*Vekter!$H$3</f>
        <v>2.145220655936936</v>
      </c>
      <c r="AJ75" s="55">
        <f>Tabell2[[#This Row],[Yrkesaktivandel-I]]*Vekter!$J$3</f>
        <v>2.1060037948151122</v>
      </c>
      <c r="AK75" s="55">
        <f>Tabell2[[#This Row],[Inntekt-I]]*Vekter!$L$3</f>
        <v>0</v>
      </c>
      <c r="AL75" s="56">
        <f>SUM(Tabell2[[#This Row],[NIBR11-v]:[Inntekt-v]])</f>
        <v>16.620230725598788</v>
      </c>
    </row>
    <row r="76" spans="1:38" x14ac:dyDescent="0.25">
      <c r="A76" s="2" t="s">
        <v>73</v>
      </c>
      <c r="B76">
        <f>'Rådata-K'!M75</f>
        <v>5</v>
      </c>
      <c r="C76" s="7">
        <f>'Rådata-K'!L75</f>
        <v>175.9</v>
      </c>
      <c r="D76" s="34">
        <f>'Rådata-K'!N75</f>
        <v>4.3170702130239702</v>
      </c>
      <c r="E76" s="34">
        <f>'Rådata-K'!O75</f>
        <v>-2.0483032711708926E-2</v>
      </c>
      <c r="F76" s="34">
        <f>'Rådata-K'!P75</f>
        <v>9.7690387016229716E-2</v>
      </c>
      <c r="G76" s="34">
        <f>'Rådata-K'!Q75</f>
        <v>0.18945068664169787</v>
      </c>
      <c r="H76" s="34">
        <f>'Rådata-K'!R75</f>
        <v>-3.5989717223650408E-2</v>
      </c>
      <c r="I76" s="34">
        <f>'Rådata-K'!S75</f>
        <v>0.91652470187393531</v>
      </c>
      <c r="J76" s="22">
        <f>'Rådata-K'!K75</f>
        <v>352900</v>
      </c>
      <c r="K76" s="22">
        <f>Tabell2[[#This Row],[NIBR11]]</f>
        <v>5</v>
      </c>
      <c r="L76" s="32">
        <f>IF(Tabell2[[#This Row],[ReisetidOslo]]&lt;=C$434,C$434,IF(Tabell2[[#This Row],[ReisetidOslo]]&gt;=C$435,C$435,Tabell2[[#This Row],[ReisetidOslo]]))</f>
        <v>175.9</v>
      </c>
      <c r="M76" s="32">
        <f>IF(Tabell2[[#This Row],[Beftettotal]]&lt;=D$434,D$434,IF(Tabell2[[#This Row],[Beftettotal]]&gt;=D$435,D$435,Tabell2[[#This Row],[Beftettotal]]))</f>
        <v>4.3170702130239702</v>
      </c>
      <c r="N76" s="34">
        <f>IF(Tabell2[[#This Row],[Befvekst10]]&lt;=E$434,E$434,IF(Tabell2[[#This Row],[Befvekst10]]&gt;=E$435,E$435,Tabell2[[#This Row],[Befvekst10]]))</f>
        <v>-2.0483032711708926E-2</v>
      </c>
      <c r="O76" s="34">
        <f>IF(Tabell2[[#This Row],[Kvinneandel]]&lt;=F$434,F$434,IF(Tabell2[[#This Row],[Kvinneandel]]&gt;=F$435,F$435,Tabell2[[#This Row],[Kvinneandel]]))</f>
        <v>9.7690387016229716E-2</v>
      </c>
      <c r="P76" s="34">
        <f>IF(Tabell2[[#This Row],[Eldreandel]]&lt;=G$434,G$434,IF(Tabell2[[#This Row],[Eldreandel]]&gt;=G$435,G$435,Tabell2[[#This Row],[Eldreandel]]))</f>
        <v>0.18945068664169787</v>
      </c>
      <c r="Q76" s="34">
        <f>IF(Tabell2[[#This Row],[Sysselsettingsvekst10]]&lt;=H$434,H$434,IF(Tabell2[[#This Row],[Sysselsettingsvekst10]]&gt;=H$435,H$435,Tabell2[[#This Row],[Sysselsettingsvekst10]]))</f>
        <v>-3.5989717223650408E-2</v>
      </c>
      <c r="R76" s="34">
        <f>IF(Tabell2[[#This Row],[Yrkesaktivandel]]&lt;=I$434,I$434,IF(Tabell2[[#This Row],[Yrkesaktivandel]]&gt;=I$435,I$435,Tabell2[[#This Row],[Yrkesaktivandel]]))</f>
        <v>0.91652470187393531</v>
      </c>
      <c r="S76" s="22">
        <f>IF(Tabell2[[#This Row],[Inntekt]]&lt;=J$434,J$434,IF(Tabell2[[#This Row],[Inntekt]]&gt;=J$435,J$435,Tabell2[[#This Row],[Inntekt]]))</f>
        <v>352900</v>
      </c>
      <c r="T76" s="22">
        <f>IF(Tabell2[[#This Row],[NIBR11-T]]&lt;=K$437,100,IF(Tabell2[[#This Row],[NIBR11-T]]&gt;=K$436,0,100*(K$436-Tabell2[[#This Row],[NIBR11-T]])/K$439))</f>
        <v>60</v>
      </c>
      <c r="U76" s="7">
        <f>IF(Tabell2[[#This Row],[ReisetidOslo-T]]&lt;=L$437,100,IF(Tabell2[[#This Row],[ReisetidOslo-T]]&gt;=L$436,0,100*(L$436-Tabell2[[#This Row],[ReisetidOslo-T]])/L$439))</f>
        <v>45.874954296166415</v>
      </c>
      <c r="V76" s="7">
        <f>100-(M$436-Tabell2[[#This Row],[Beftettotal-T]])*100/M$439</f>
        <v>2.3108865116985129</v>
      </c>
      <c r="W76" s="7">
        <f>100-(N$436-Tabell2[[#This Row],[Befvekst10-T]])*100/N$439</f>
        <v>22.432140144113944</v>
      </c>
      <c r="X76" s="7">
        <f>100-(O$436-Tabell2[[#This Row],[Kvinneandel-T]])*100/O$439</f>
        <v>19.02636832977386</v>
      </c>
      <c r="Y76" s="7">
        <f>(P$436-Tabell2[[#This Row],[Eldreandel-T]])*100/P$439</f>
        <v>27.321743339164989</v>
      </c>
      <c r="Z76" s="7">
        <f>100-(Q$436-Tabell2[[#This Row],[Sysselsettingsvekst10-T]])*100/Q$439</f>
        <v>10.040149506375826</v>
      </c>
      <c r="AA76" s="7">
        <f>100-(R$436-Tabell2[[#This Row],[Yrkesaktivandel-T]])*100/R$439</f>
        <v>65.009161827913886</v>
      </c>
      <c r="AB76" s="7">
        <f>100-(S$436-Tabell2[[#This Row],[Inntekt-T]])*100/S$439</f>
        <v>24.680752263756673</v>
      </c>
      <c r="AC76" s="55">
        <f>Tabell2[[#This Row],[NIBR11-I]]*Vekter!$B$3</f>
        <v>12</v>
      </c>
      <c r="AD76" s="55">
        <f>Tabell2[[#This Row],[ReisetidOslo-I]]*Vekter!$C$3</f>
        <v>4.5874954296166415</v>
      </c>
      <c r="AE76" s="55">
        <f>Tabell2[[#This Row],[Beftettotal-I]]*Vekter!$D$3</f>
        <v>0.23108865116985131</v>
      </c>
      <c r="AF76" s="55">
        <f>Tabell2[[#This Row],[Befvekst10-I]]*Vekter!$E$3</f>
        <v>4.4864280288227887</v>
      </c>
      <c r="AG76" s="55">
        <f>Tabell2[[#This Row],[Kvinneandel-I]]*Vekter!$F$3</f>
        <v>0.95131841648869298</v>
      </c>
      <c r="AH76" s="55">
        <f>Tabell2[[#This Row],[Eldreandel-I]]*Vekter!$G$3</f>
        <v>1.3660871669582495</v>
      </c>
      <c r="AI76" s="55">
        <f>Tabell2[[#This Row],[Sysselsettingsvekst10-I]]*Vekter!$H$3</f>
        <v>1.0040149506375826</v>
      </c>
      <c r="AJ76" s="55">
        <f>Tabell2[[#This Row],[Yrkesaktivandel-I]]*Vekter!$J$3</f>
        <v>6.5009161827913893</v>
      </c>
      <c r="AK76" s="55">
        <f>Tabell2[[#This Row],[Inntekt-I]]*Vekter!$L$3</f>
        <v>2.4680752263756673</v>
      </c>
      <c r="AL76" s="56">
        <f>SUM(Tabell2[[#This Row],[NIBR11-v]:[Inntekt-v]])</f>
        <v>33.595424052860864</v>
      </c>
    </row>
    <row r="77" spans="1:38" x14ac:dyDescent="0.25">
      <c r="A77" s="2" t="s">
        <v>74</v>
      </c>
      <c r="B77">
        <f>'Rådata-K'!M76</f>
        <v>5</v>
      </c>
      <c r="C77" s="7">
        <f>'Rådata-K'!L76</f>
        <v>166.45</v>
      </c>
      <c r="D77" s="34">
        <f>'Rådata-K'!N76</f>
        <v>3.574119495342984</v>
      </c>
      <c r="E77" s="34">
        <f>'Rådata-K'!O76</f>
        <v>-2.7692978630614928E-2</v>
      </c>
      <c r="F77" s="34">
        <f>'Rådata-K'!P76</f>
        <v>0.10024669208342678</v>
      </c>
      <c r="G77" s="34">
        <f>'Rådata-K'!Q76</f>
        <v>0.20094191522762953</v>
      </c>
      <c r="H77" s="34">
        <f>'Rådata-K'!R76</f>
        <v>1.7945266935845972E-3</v>
      </c>
      <c r="I77" s="34">
        <f>'Rådata-K'!S76</f>
        <v>0.92037186742118027</v>
      </c>
      <c r="J77" s="22">
        <f>'Rådata-K'!K76</f>
        <v>331500</v>
      </c>
      <c r="K77" s="22">
        <f>Tabell2[[#This Row],[NIBR11]]</f>
        <v>5</v>
      </c>
      <c r="L77" s="32">
        <f>IF(Tabell2[[#This Row],[ReisetidOslo]]&lt;=C$434,C$434,IF(Tabell2[[#This Row],[ReisetidOslo]]&gt;=C$435,C$435,Tabell2[[#This Row],[ReisetidOslo]]))</f>
        <v>166.45</v>
      </c>
      <c r="M77" s="32">
        <f>IF(Tabell2[[#This Row],[Beftettotal]]&lt;=D$434,D$434,IF(Tabell2[[#This Row],[Beftettotal]]&gt;=D$435,D$435,Tabell2[[#This Row],[Beftettotal]]))</f>
        <v>3.574119495342984</v>
      </c>
      <c r="N77" s="34">
        <f>IF(Tabell2[[#This Row],[Befvekst10]]&lt;=E$434,E$434,IF(Tabell2[[#This Row],[Befvekst10]]&gt;=E$435,E$435,Tabell2[[#This Row],[Befvekst10]]))</f>
        <v>-2.7692978630614928E-2</v>
      </c>
      <c r="O77" s="34">
        <f>IF(Tabell2[[#This Row],[Kvinneandel]]&lt;=F$434,F$434,IF(Tabell2[[#This Row],[Kvinneandel]]&gt;=F$435,F$435,Tabell2[[#This Row],[Kvinneandel]]))</f>
        <v>0.10024669208342678</v>
      </c>
      <c r="P77" s="34">
        <f>IF(Tabell2[[#This Row],[Eldreandel]]&lt;=G$434,G$434,IF(Tabell2[[#This Row],[Eldreandel]]&gt;=G$435,G$435,Tabell2[[#This Row],[Eldreandel]]))</f>
        <v>0.20094191522762953</v>
      </c>
      <c r="Q77" s="34">
        <f>IF(Tabell2[[#This Row],[Sysselsettingsvekst10]]&lt;=H$434,H$434,IF(Tabell2[[#This Row],[Sysselsettingsvekst10]]&gt;=H$435,H$435,Tabell2[[#This Row],[Sysselsettingsvekst10]]))</f>
        <v>1.7945266935845972E-3</v>
      </c>
      <c r="R77" s="34">
        <f>IF(Tabell2[[#This Row],[Yrkesaktivandel]]&lt;=I$434,I$434,IF(Tabell2[[#This Row],[Yrkesaktivandel]]&gt;=I$435,I$435,Tabell2[[#This Row],[Yrkesaktivandel]]))</f>
        <v>0.92037186742118027</v>
      </c>
      <c r="S77" s="22">
        <f>IF(Tabell2[[#This Row],[Inntekt]]&lt;=J$434,J$434,IF(Tabell2[[#This Row],[Inntekt]]&gt;=J$435,J$435,Tabell2[[#This Row],[Inntekt]]))</f>
        <v>331640</v>
      </c>
      <c r="T77" s="22">
        <f>IF(Tabell2[[#This Row],[NIBR11-T]]&lt;=K$437,100,IF(Tabell2[[#This Row],[NIBR11-T]]&gt;=K$436,0,100*(K$436-Tabell2[[#This Row],[NIBR11-T]])/K$439))</f>
        <v>60</v>
      </c>
      <c r="U77" s="7">
        <f>IF(Tabell2[[#This Row],[ReisetidOslo-T]]&lt;=L$437,100,IF(Tabell2[[#This Row],[ReisetidOslo-T]]&gt;=L$436,0,100*(L$436-Tabell2[[#This Row],[ReisetidOslo-T]])/L$439))</f>
        <v>50.021206581357951</v>
      </c>
      <c r="V77" s="7">
        <f>100-(M$436-Tabell2[[#This Row],[Beftettotal-T]])*100/M$439</f>
        <v>1.7361615457822097</v>
      </c>
      <c r="W77" s="7">
        <f>100-(N$436-Tabell2[[#This Row],[Befvekst10-T]])*100/N$439</f>
        <v>19.529152363283515</v>
      </c>
      <c r="X77" s="7">
        <f>100-(O$436-Tabell2[[#This Row],[Kvinneandel-T]])*100/O$439</f>
        <v>25.781357099732574</v>
      </c>
      <c r="Y77" s="7">
        <f>(P$436-Tabell2[[#This Row],[Eldreandel-T]])*100/P$439</f>
        <v>14.730207341809802</v>
      </c>
      <c r="Z77" s="7">
        <f>100-(Q$436-Tabell2[[#This Row],[Sysselsettingsvekst10-T]])*100/Q$439</f>
        <v>21.282507623916757</v>
      </c>
      <c r="AA77" s="7">
        <f>100-(R$436-Tabell2[[#This Row],[Yrkesaktivandel-T]])*100/R$439</f>
        <v>67.967215673155508</v>
      </c>
      <c r="AB77" s="7">
        <f>100-(S$436-Tabell2[[#This Row],[Inntekt-T]])*100/S$439</f>
        <v>0</v>
      </c>
      <c r="AC77" s="55">
        <f>Tabell2[[#This Row],[NIBR11-I]]*Vekter!$B$3</f>
        <v>12</v>
      </c>
      <c r="AD77" s="55">
        <f>Tabell2[[#This Row],[ReisetidOslo-I]]*Vekter!$C$3</f>
        <v>5.0021206581357953</v>
      </c>
      <c r="AE77" s="55">
        <f>Tabell2[[#This Row],[Beftettotal-I]]*Vekter!$D$3</f>
        <v>0.17361615457822099</v>
      </c>
      <c r="AF77" s="55">
        <f>Tabell2[[#This Row],[Befvekst10-I]]*Vekter!$E$3</f>
        <v>3.905830472656703</v>
      </c>
      <c r="AG77" s="55">
        <f>Tabell2[[#This Row],[Kvinneandel-I]]*Vekter!$F$3</f>
        <v>1.2890678549866288</v>
      </c>
      <c r="AH77" s="55">
        <f>Tabell2[[#This Row],[Eldreandel-I]]*Vekter!$G$3</f>
        <v>0.73651036709049011</v>
      </c>
      <c r="AI77" s="55">
        <f>Tabell2[[#This Row],[Sysselsettingsvekst10-I]]*Vekter!$H$3</f>
        <v>2.128250762391676</v>
      </c>
      <c r="AJ77" s="55">
        <f>Tabell2[[#This Row],[Yrkesaktivandel-I]]*Vekter!$J$3</f>
        <v>6.7967215673155508</v>
      </c>
      <c r="AK77" s="55">
        <f>Tabell2[[#This Row],[Inntekt-I]]*Vekter!$L$3</f>
        <v>0</v>
      </c>
      <c r="AL77" s="56">
        <f>SUM(Tabell2[[#This Row],[NIBR11-v]:[Inntekt-v]])</f>
        <v>32.032117837155063</v>
      </c>
    </row>
    <row r="78" spans="1:38" x14ac:dyDescent="0.25">
      <c r="A78" s="2" t="s">
        <v>75</v>
      </c>
      <c r="B78">
        <f>'Rådata-K'!M77</f>
        <v>4</v>
      </c>
      <c r="C78" s="7">
        <f>'Rådata-K'!L77</f>
        <v>145.1</v>
      </c>
      <c r="D78" s="34">
        <f>'Rådata-K'!N77</f>
        <v>7.9152992655102361</v>
      </c>
      <c r="E78" s="34">
        <f>'Rådata-K'!O77</f>
        <v>4.6487603305785052E-2</v>
      </c>
      <c r="F78" s="34">
        <f>'Rådata-K'!P77</f>
        <v>0.10878578479763081</v>
      </c>
      <c r="G78" s="34">
        <f>'Rådata-K'!Q77</f>
        <v>0.16347482724580453</v>
      </c>
      <c r="H78" s="34">
        <f>'Rådata-K'!R77</f>
        <v>-3.3594624860022404E-2</v>
      </c>
      <c r="I78" s="34">
        <f>'Rådata-K'!S77</f>
        <v>0.90026863666890533</v>
      </c>
      <c r="J78" s="22">
        <f>'Rådata-K'!K77</f>
        <v>351800</v>
      </c>
      <c r="K78" s="22">
        <f>Tabell2[[#This Row],[NIBR11]]</f>
        <v>4</v>
      </c>
      <c r="L78" s="32">
        <f>IF(Tabell2[[#This Row],[ReisetidOslo]]&lt;=C$434,C$434,IF(Tabell2[[#This Row],[ReisetidOslo]]&gt;=C$435,C$435,Tabell2[[#This Row],[ReisetidOslo]]))</f>
        <v>145.1</v>
      </c>
      <c r="M78" s="32">
        <f>IF(Tabell2[[#This Row],[Beftettotal]]&lt;=D$434,D$434,IF(Tabell2[[#This Row],[Beftettotal]]&gt;=D$435,D$435,Tabell2[[#This Row],[Beftettotal]]))</f>
        <v>7.9152992655102361</v>
      </c>
      <c r="N78" s="34">
        <f>IF(Tabell2[[#This Row],[Befvekst10]]&lt;=E$434,E$434,IF(Tabell2[[#This Row],[Befvekst10]]&gt;=E$435,E$435,Tabell2[[#This Row],[Befvekst10]]))</f>
        <v>4.6487603305785052E-2</v>
      </c>
      <c r="O78" s="34">
        <f>IF(Tabell2[[#This Row],[Kvinneandel]]&lt;=F$434,F$434,IF(Tabell2[[#This Row],[Kvinneandel]]&gt;=F$435,F$435,Tabell2[[#This Row],[Kvinneandel]]))</f>
        <v>0.10878578479763081</v>
      </c>
      <c r="P78" s="34">
        <f>IF(Tabell2[[#This Row],[Eldreandel]]&lt;=G$434,G$434,IF(Tabell2[[#This Row],[Eldreandel]]&gt;=G$435,G$435,Tabell2[[#This Row],[Eldreandel]]))</f>
        <v>0.16347482724580453</v>
      </c>
      <c r="Q78" s="34">
        <f>IF(Tabell2[[#This Row],[Sysselsettingsvekst10]]&lt;=H$434,H$434,IF(Tabell2[[#This Row],[Sysselsettingsvekst10]]&gt;=H$435,H$435,Tabell2[[#This Row],[Sysselsettingsvekst10]]))</f>
        <v>-3.3594624860022404E-2</v>
      </c>
      <c r="R78" s="34">
        <f>IF(Tabell2[[#This Row],[Yrkesaktivandel]]&lt;=I$434,I$434,IF(Tabell2[[#This Row],[Yrkesaktivandel]]&gt;=I$435,I$435,Tabell2[[#This Row],[Yrkesaktivandel]]))</f>
        <v>0.90026863666890533</v>
      </c>
      <c r="S78" s="22">
        <f>IF(Tabell2[[#This Row],[Inntekt]]&lt;=J$434,J$434,IF(Tabell2[[#This Row],[Inntekt]]&gt;=J$435,J$435,Tabell2[[#This Row],[Inntekt]]))</f>
        <v>351800</v>
      </c>
      <c r="T78" s="22">
        <f>IF(Tabell2[[#This Row],[NIBR11-T]]&lt;=K$437,100,IF(Tabell2[[#This Row],[NIBR11-T]]&gt;=K$436,0,100*(K$436-Tabell2[[#This Row],[NIBR11-T]])/K$439))</f>
        <v>70</v>
      </c>
      <c r="U78" s="7">
        <f>IF(Tabell2[[#This Row],[ReisetidOslo-T]]&lt;=L$437,100,IF(Tabell2[[#This Row],[ReisetidOslo-T]]&gt;=L$436,0,100*(L$436-Tabell2[[#This Row],[ReisetidOslo-T]])/L$439))</f>
        <v>59.388665447901786</v>
      </c>
      <c r="V78" s="7">
        <f>100-(M$436-Tabell2[[#This Row],[Beftettotal-T]])*100/M$439</f>
        <v>5.0943713651813312</v>
      </c>
      <c r="W78" s="7">
        <f>100-(N$436-Tabell2[[#This Row],[Befvekst10-T]])*100/N$439</f>
        <v>49.396966263465181</v>
      </c>
      <c r="X78" s="7">
        <f>100-(O$436-Tabell2[[#This Row],[Kvinneandel-T]])*100/O$439</f>
        <v>48.345751361694049</v>
      </c>
      <c r="Y78" s="7">
        <f>(P$436-Tabell2[[#This Row],[Eldreandel-T]])*100/P$439</f>
        <v>55.784841623194993</v>
      </c>
      <c r="Z78" s="7">
        <f>100-(Q$436-Tabell2[[#This Row],[Sysselsettingsvekst10-T]])*100/Q$439</f>
        <v>10.752787455026478</v>
      </c>
      <c r="AA78" s="7">
        <f>100-(R$436-Tabell2[[#This Row],[Yrkesaktivandel-T]])*100/R$439</f>
        <v>52.510007425090429</v>
      </c>
      <c r="AB78" s="7">
        <f>100-(S$436-Tabell2[[#This Row],[Inntekt-T]])*100/S$439</f>
        <v>23.403761318783381</v>
      </c>
      <c r="AC78" s="55">
        <f>Tabell2[[#This Row],[NIBR11-I]]*Vekter!$B$3</f>
        <v>14</v>
      </c>
      <c r="AD78" s="55">
        <f>Tabell2[[#This Row],[ReisetidOslo-I]]*Vekter!$C$3</f>
        <v>5.9388665447901792</v>
      </c>
      <c r="AE78" s="55">
        <f>Tabell2[[#This Row],[Beftettotal-I]]*Vekter!$D$3</f>
        <v>0.50943713651813316</v>
      </c>
      <c r="AF78" s="55">
        <f>Tabell2[[#This Row],[Befvekst10-I]]*Vekter!$E$3</f>
        <v>9.8793932526930366</v>
      </c>
      <c r="AG78" s="55">
        <f>Tabell2[[#This Row],[Kvinneandel-I]]*Vekter!$F$3</f>
        <v>2.4172875680847028</v>
      </c>
      <c r="AH78" s="55">
        <f>Tabell2[[#This Row],[Eldreandel-I]]*Vekter!$G$3</f>
        <v>2.7892420811597498</v>
      </c>
      <c r="AI78" s="55">
        <f>Tabell2[[#This Row],[Sysselsettingsvekst10-I]]*Vekter!$H$3</f>
        <v>1.0752787455026478</v>
      </c>
      <c r="AJ78" s="55">
        <f>Tabell2[[#This Row],[Yrkesaktivandel-I]]*Vekter!$J$3</f>
        <v>5.251000742509043</v>
      </c>
      <c r="AK78" s="55">
        <f>Tabell2[[#This Row],[Inntekt-I]]*Vekter!$L$3</f>
        <v>2.340376131878338</v>
      </c>
      <c r="AL78" s="56">
        <f>SUM(Tabell2[[#This Row],[NIBR11-v]:[Inntekt-v]])</f>
        <v>44.200882203135833</v>
      </c>
    </row>
    <row r="79" spans="1:38" x14ac:dyDescent="0.25">
      <c r="A79" s="2" t="s">
        <v>76</v>
      </c>
      <c r="B79">
        <f>'Rådata-K'!M78</f>
        <v>4</v>
      </c>
      <c r="C79" s="7">
        <f>'Rådata-K'!L78</f>
        <v>140.76666666700001</v>
      </c>
      <c r="D79" s="34">
        <f>'Rådata-K'!N78</f>
        <v>5.2134054199267936</v>
      </c>
      <c r="E79" s="34">
        <f>'Rådata-K'!O78</f>
        <v>5.6680161943318819E-3</v>
      </c>
      <c r="F79" s="34">
        <f>'Rådata-K'!P78</f>
        <v>0.10144927536231885</v>
      </c>
      <c r="G79" s="34">
        <f>'Rådata-K'!Q78</f>
        <v>0.19066022544283415</v>
      </c>
      <c r="H79" s="34">
        <f>'Rådata-K'!R78</f>
        <v>0.11690731252911046</v>
      </c>
      <c r="I79" s="34">
        <f>'Rådata-K'!S78</f>
        <v>0.94922100403923837</v>
      </c>
      <c r="J79" s="22">
        <f>'Rådata-K'!K78</f>
        <v>350400</v>
      </c>
      <c r="K79" s="22">
        <f>Tabell2[[#This Row],[NIBR11]]</f>
        <v>4</v>
      </c>
      <c r="L79" s="32">
        <f>IF(Tabell2[[#This Row],[ReisetidOslo]]&lt;=C$434,C$434,IF(Tabell2[[#This Row],[ReisetidOslo]]&gt;=C$435,C$435,Tabell2[[#This Row],[ReisetidOslo]]))</f>
        <v>140.76666666700001</v>
      </c>
      <c r="M79" s="32">
        <f>IF(Tabell2[[#This Row],[Beftettotal]]&lt;=D$434,D$434,IF(Tabell2[[#This Row],[Beftettotal]]&gt;=D$435,D$435,Tabell2[[#This Row],[Beftettotal]]))</f>
        <v>5.2134054199267936</v>
      </c>
      <c r="N79" s="34">
        <f>IF(Tabell2[[#This Row],[Befvekst10]]&lt;=E$434,E$434,IF(Tabell2[[#This Row],[Befvekst10]]&gt;=E$435,E$435,Tabell2[[#This Row],[Befvekst10]]))</f>
        <v>5.6680161943318819E-3</v>
      </c>
      <c r="O79" s="34">
        <f>IF(Tabell2[[#This Row],[Kvinneandel]]&lt;=F$434,F$434,IF(Tabell2[[#This Row],[Kvinneandel]]&gt;=F$435,F$435,Tabell2[[#This Row],[Kvinneandel]]))</f>
        <v>0.10144927536231885</v>
      </c>
      <c r="P79" s="34">
        <f>IF(Tabell2[[#This Row],[Eldreandel]]&lt;=G$434,G$434,IF(Tabell2[[#This Row],[Eldreandel]]&gt;=G$435,G$435,Tabell2[[#This Row],[Eldreandel]]))</f>
        <v>0.19066022544283415</v>
      </c>
      <c r="Q79" s="34">
        <f>IF(Tabell2[[#This Row],[Sysselsettingsvekst10]]&lt;=H$434,H$434,IF(Tabell2[[#This Row],[Sysselsettingsvekst10]]&gt;=H$435,H$435,Tabell2[[#This Row],[Sysselsettingsvekst10]]))</f>
        <v>0.11690731252911046</v>
      </c>
      <c r="R79" s="34">
        <f>IF(Tabell2[[#This Row],[Yrkesaktivandel]]&lt;=I$434,I$434,IF(Tabell2[[#This Row],[Yrkesaktivandel]]&gt;=I$435,I$435,Tabell2[[#This Row],[Yrkesaktivandel]]))</f>
        <v>0.94922100403923837</v>
      </c>
      <c r="S79" s="22">
        <f>IF(Tabell2[[#This Row],[Inntekt]]&lt;=J$434,J$434,IF(Tabell2[[#This Row],[Inntekt]]&gt;=J$435,J$435,Tabell2[[#This Row],[Inntekt]]))</f>
        <v>350400</v>
      </c>
      <c r="T79" s="22">
        <f>IF(Tabell2[[#This Row],[NIBR11-T]]&lt;=K$437,100,IF(Tabell2[[#This Row],[NIBR11-T]]&gt;=K$436,0,100*(K$436-Tabell2[[#This Row],[NIBR11-T]])/K$439))</f>
        <v>70</v>
      </c>
      <c r="U79" s="7">
        <f>IF(Tabell2[[#This Row],[ReisetidOslo-T]]&lt;=L$437,100,IF(Tabell2[[#This Row],[ReisetidOslo-T]]&gt;=L$436,0,100*(L$436-Tabell2[[#This Row],[ReisetidOslo-T]])/L$439))</f>
        <v>61.289945155250763</v>
      </c>
      <c r="V79" s="7">
        <f>100-(M$436-Tabell2[[#This Row],[Beftettotal-T]])*100/M$439</f>
        <v>3.0042652365280134</v>
      </c>
      <c r="W79" s="7">
        <f>100-(N$436-Tabell2[[#This Row],[Befvekst10-T]])*100/N$439</f>
        <v>32.961508364625388</v>
      </c>
      <c r="X79" s="7">
        <f>100-(O$436-Tabell2[[#This Row],[Kvinneandel-T]])*100/O$439</f>
        <v>28.959161129500913</v>
      </c>
      <c r="Y79" s="7">
        <f>(P$436-Tabell2[[#This Row],[Eldreandel-T]])*100/P$439</f>
        <v>25.996388853279047</v>
      </c>
      <c r="Z79" s="7">
        <f>100-(Q$436-Tabell2[[#This Row],[Sysselsettingsvekst10-T]])*100/Q$439</f>
        <v>55.533270060914028</v>
      </c>
      <c r="AA79" s="7">
        <f>100-(R$436-Tabell2[[#This Row],[Yrkesaktivandel-T]])*100/R$439</f>
        <v>90.149078776514742</v>
      </c>
      <c r="AB79" s="7">
        <f>100-(S$436-Tabell2[[#This Row],[Inntekt-T]])*100/S$439</f>
        <v>21.778500116090086</v>
      </c>
      <c r="AC79" s="55">
        <f>Tabell2[[#This Row],[NIBR11-I]]*Vekter!$B$3</f>
        <v>14</v>
      </c>
      <c r="AD79" s="55">
        <f>Tabell2[[#This Row],[ReisetidOslo-I]]*Vekter!$C$3</f>
        <v>6.1289945155250765</v>
      </c>
      <c r="AE79" s="55">
        <f>Tabell2[[#This Row],[Beftettotal-I]]*Vekter!$D$3</f>
        <v>0.30042652365280137</v>
      </c>
      <c r="AF79" s="55">
        <f>Tabell2[[#This Row],[Befvekst10-I]]*Vekter!$E$3</f>
        <v>6.5923016729250783</v>
      </c>
      <c r="AG79" s="55">
        <f>Tabell2[[#This Row],[Kvinneandel-I]]*Vekter!$F$3</f>
        <v>1.4479580564750458</v>
      </c>
      <c r="AH79" s="55">
        <f>Tabell2[[#This Row],[Eldreandel-I]]*Vekter!$G$3</f>
        <v>1.2998194426639524</v>
      </c>
      <c r="AI79" s="55">
        <f>Tabell2[[#This Row],[Sysselsettingsvekst10-I]]*Vekter!$H$3</f>
        <v>5.5533270060914033</v>
      </c>
      <c r="AJ79" s="55">
        <f>Tabell2[[#This Row],[Yrkesaktivandel-I]]*Vekter!$J$3</f>
        <v>9.0149078776514742</v>
      </c>
      <c r="AK79" s="55">
        <f>Tabell2[[#This Row],[Inntekt-I]]*Vekter!$L$3</f>
        <v>2.1778500116090087</v>
      </c>
      <c r="AL79" s="56">
        <f>SUM(Tabell2[[#This Row],[NIBR11-v]:[Inntekt-v]])</f>
        <v>46.515585106593839</v>
      </c>
    </row>
    <row r="80" spans="1:38" x14ac:dyDescent="0.25">
      <c r="A80" s="2" t="s">
        <v>77</v>
      </c>
      <c r="B80">
        <f>'Rådata-K'!M79</f>
        <v>4</v>
      </c>
      <c r="C80" s="7">
        <f>'Rådata-K'!L79</f>
        <v>90.5</v>
      </c>
      <c r="D80" s="34">
        <f>'Rådata-K'!N79</f>
        <v>26.300727020637428</v>
      </c>
      <c r="E80" s="34">
        <f>'Rådata-K'!O79</f>
        <v>1.3147082990961456E-2</v>
      </c>
      <c r="F80" s="34">
        <f>'Rådata-K'!P79</f>
        <v>0.102257366855907</v>
      </c>
      <c r="G80" s="34">
        <f>'Rådata-K'!Q79</f>
        <v>0.17842660178426603</v>
      </c>
      <c r="H80" s="34">
        <f>'Rådata-K'!R79</f>
        <v>0.10417103332634658</v>
      </c>
      <c r="I80" s="34">
        <f>'Rådata-K'!S79</f>
        <v>0.87050189393939392</v>
      </c>
      <c r="J80" s="22">
        <f>'Rådata-K'!K79</f>
        <v>354300</v>
      </c>
      <c r="K80" s="22">
        <f>Tabell2[[#This Row],[NIBR11]]</f>
        <v>4</v>
      </c>
      <c r="L80" s="32">
        <f>IF(Tabell2[[#This Row],[ReisetidOslo]]&lt;=C$434,C$434,IF(Tabell2[[#This Row],[ReisetidOslo]]&gt;=C$435,C$435,Tabell2[[#This Row],[ReisetidOslo]]))</f>
        <v>90.5</v>
      </c>
      <c r="M80" s="32">
        <f>IF(Tabell2[[#This Row],[Beftettotal]]&lt;=D$434,D$434,IF(Tabell2[[#This Row],[Beftettotal]]&gt;=D$435,D$435,Tabell2[[#This Row],[Beftettotal]]))</f>
        <v>26.300727020637428</v>
      </c>
      <c r="N80" s="34">
        <f>IF(Tabell2[[#This Row],[Befvekst10]]&lt;=E$434,E$434,IF(Tabell2[[#This Row],[Befvekst10]]&gt;=E$435,E$435,Tabell2[[#This Row],[Befvekst10]]))</f>
        <v>1.3147082990961456E-2</v>
      </c>
      <c r="O80" s="34">
        <f>IF(Tabell2[[#This Row],[Kvinneandel]]&lt;=F$434,F$434,IF(Tabell2[[#This Row],[Kvinneandel]]&gt;=F$435,F$435,Tabell2[[#This Row],[Kvinneandel]]))</f>
        <v>0.102257366855907</v>
      </c>
      <c r="P80" s="34">
        <f>IF(Tabell2[[#This Row],[Eldreandel]]&lt;=G$434,G$434,IF(Tabell2[[#This Row],[Eldreandel]]&gt;=G$435,G$435,Tabell2[[#This Row],[Eldreandel]]))</f>
        <v>0.17842660178426603</v>
      </c>
      <c r="Q80" s="34">
        <f>IF(Tabell2[[#This Row],[Sysselsettingsvekst10]]&lt;=H$434,H$434,IF(Tabell2[[#This Row],[Sysselsettingsvekst10]]&gt;=H$435,H$435,Tabell2[[#This Row],[Sysselsettingsvekst10]]))</f>
        <v>0.10417103332634658</v>
      </c>
      <c r="R80" s="34">
        <f>IF(Tabell2[[#This Row],[Yrkesaktivandel]]&lt;=I$434,I$434,IF(Tabell2[[#This Row],[Yrkesaktivandel]]&gt;=I$435,I$435,Tabell2[[#This Row],[Yrkesaktivandel]]))</f>
        <v>0.87050189393939392</v>
      </c>
      <c r="S80" s="22">
        <f>IF(Tabell2[[#This Row],[Inntekt]]&lt;=J$434,J$434,IF(Tabell2[[#This Row],[Inntekt]]&gt;=J$435,J$435,Tabell2[[#This Row],[Inntekt]]))</f>
        <v>354300</v>
      </c>
      <c r="T80" s="22">
        <f>IF(Tabell2[[#This Row],[NIBR11-T]]&lt;=K$437,100,IF(Tabell2[[#This Row],[NIBR11-T]]&gt;=K$436,0,100*(K$436-Tabell2[[#This Row],[NIBR11-T]])/K$439))</f>
        <v>70</v>
      </c>
      <c r="U80" s="7">
        <f>IF(Tabell2[[#This Row],[ReisetidOslo-T]]&lt;=L$437,100,IF(Tabell2[[#This Row],[ReisetidOslo-T]]&gt;=L$436,0,100*(L$436-Tabell2[[#This Row],[ReisetidOslo-T]])/L$439))</f>
        <v>83.344789762341733</v>
      </c>
      <c r="V80" s="7">
        <f>100-(M$436-Tabell2[[#This Row],[Beftettotal-T]])*100/M$439</f>
        <v>19.316801047871493</v>
      </c>
      <c r="W80" s="7">
        <f>100-(N$436-Tabell2[[#This Row],[Befvekst10-T]])*100/N$439</f>
        <v>35.972854048328458</v>
      </c>
      <c r="X80" s="7">
        <f>100-(O$436-Tabell2[[#This Row],[Kvinneandel-T]])*100/O$439</f>
        <v>31.094527926810613</v>
      </c>
      <c r="Y80" s="7">
        <f>(P$436-Tabell2[[#This Row],[Eldreandel-T]])*100/P$439</f>
        <v>39.401405690516356</v>
      </c>
      <c r="Z80" s="7">
        <f>100-(Q$436-Tabell2[[#This Row],[Sysselsettingsvekst10-T]])*100/Q$439</f>
        <v>51.743706024748484</v>
      </c>
      <c r="AA80" s="7">
        <f>100-(R$436-Tabell2[[#This Row],[Yrkesaktivandel-T]])*100/R$439</f>
        <v>29.622604554058483</v>
      </c>
      <c r="AB80" s="7">
        <f>100-(S$436-Tabell2[[#This Row],[Inntekt-T]])*100/S$439</f>
        <v>26.306013466449969</v>
      </c>
      <c r="AC80" s="55">
        <f>Tabell2[[#This Row],[NIBR11-I]]*Vekter!$B$3</f>
        <v>14</v>
      </c>
      <c r="AD80" s="55">
        <f>Tabell2[[#This Row],[ReisetidOslo-I]]*Vekter!$C$3</f>
        <v>8.3344789762341733</v>
      </c>
      <c r="AE80" s="55">
        <f>Tabell2[[#This Row],[Beftettotal-I]]*Vekter!$D$3</f>
        <v>1.9316801047871495</v>
      </c>
      <c r="AF80" s="55">
        <f>Tabell2[[#This Row],[Befvekst10-I]]*Vekter!$E$3</f>
        <v>7.1945708096656915</v>
      </c>
      <c r="AG80" s="55">
        <f>Tabell2[[#This Row],[Kvinneandel-I]]*Vekter!$F$3</f>
        <v>1.5547263963405307</v>
      </c>
      <c r="AH80" s="55">
        <f>Tabell2[[#This Row],[Eldreandel-I]]*Vekter!$G$3</f>
        <v>1.9700702845258178</v>
      </c>
      <c r="AI80" s="55">
        <f>Tabell2[[#This Row],[Sysselsettingsvekst10-I]]*Vekter!$H$3</f>
        <v>5.1743706024748484</v>
      </c>
      <c r="AJ80" s="55">
        <f>Tabell2[[#This Row],[Yrkesaktivandel-I]]*Vekter!$J$3</f>
        <v>2.9622604554058487</v>
      </c>
      <c r="AK80" s="55">
        <f>Tabell2[[#This Row],[Inntekt-I]]*Vekter!$L$3</f>
        <v>2.6306013466449971</v>
      </c>
      <c r="AL80" s="56">
        <f>SUM(Tabell2[[#This Row],[NIBR11-v]:[Inntekt-v]])</f>
        <v>45.752758976079058</v>
      </c>
    </row>
    <row r="81" spans="1:38" x14ac:dyDescent="0.25">
      <c r="A81" s="2" t="s">
        <v>78</v>
      </c>
      <c r="B81">
        <f>'Rådata-K'!M80</f>
        <v>4</v>
      </c>
      <c r="C81" s="7">
        <f>'Rådata-K'!L80</f>
        <v>95.866666666699999</v>
      </c>
      <c r="D81" s="34">
        <f>'Rådata-K'!N80</f>
        <v>52.709201667201029</v>
      </c>
      <c r="E81" s="34">
        <f>'Rådata-K'!O80</f>
        <v>4.8302247728359671E-2</v>
      </c>
      <c r="F81" s="34">
        <f>'Rådata-K'!P80</f>
        <v>0.10736009732360097</v>
      </c>
      <c r="G81" s="34">
        <f>'Rådata-K'!Q80</f>
        <v>0.17145681265206814</v>
      </c>
      <c r="H81" s="34">
        <f>'Rådata-K'!R80</f>
        <v>2.372348782403777E-2</v>
      </c>
      <c r="I81" s="34">
        <f>'Rådata-K'!S80</f>
        <v>0.85727500991145766</v>
      </c>
      <c r="J81" s="22">
        <f>'Rådata-K'!K80</f>
        <v>353600</v>
      </c>
      <c r="K81" s="22">
        <f>Tabell2[[#This Row],[NIBR11]]</f>
        <v>4</v>
      </c>
      <c r="L81" s="32">
        <f>IF(Tabell2[[#This Row],[ReisetidOslo]]&lt;=C$434,C$434,IF(Tabell2[[#This Row],[ReisetidOslo]]&gt;=C$435,C$435,Tabell2[[#This Row],[ReisetidOslo]]))</f>
        <v>95.866666666699999</v>
      </c>
      <c r="M81" s="32">
        <f>IF(Tabell2[[#This Row],[Beftettotal]]&lt;=D$434,D$434,IF(Tabell2[[#This Row],[Beftettotal]]&gt;=D$435,D$435,Tabell2[[#This Row],[Beftettotal]]))</f>
        <v>52.709201667201029</v>
      </c>
      <c r="N81" s="34">
        <f>IF(Tabell2[[#This Row],[Befvekst10]]&lt;=E$434,E$434,IF(Tabell2[[#This Row],[Befvekst10]]&gt;=E$435,E$435,Tabell2[[#This Row],[Befvekst10]]))</f>
        <v>4.8302247728359671E-2</v>
      </c>
      <c r="O81" s="34">
        <f>IF(Tabell2[[#This Row],[Kvinneandel]]&lt;=F$434,F$434,IF(Tabell2[[#This Row],[Kvinneandel]]&gt;=F$435,F$435,Tabell2[[#This Row],[Kvinneandel]]))</f>
        <v>0.10736009732360097</v>
      </c>
      <c r="P81" s="34">
        <f>IF(Tabell2[[#This Row],[Eldreandel]]&lt;=G$434,G$434,IF(Tabell2[[#This Row],[Eldreandel]]&gt;=G$435,G$435,Tabell2[[#This Row],[Eldreandel]]))</f>
        <v>0.17145681265206814</v>
      </c>
      <c r="Q81" s="34">
        <f>IF(Tabell2[[#This Row],[Sysselsettingsvekst10]]&lt;=H$434,H$434,IF(Tabell2[[#This Row],[Sysselsettingsvekst10]]&gt;=H$435,H$435,Tabell2[[#This Row],[Sysselsettingsvekst10]]))</f>
        <v>2.372348782403777E-2</v>
      </c>
      <c r="R81" s="34">
        <f>IF(Tabell2[[#This Row],[Yrkesaktivandel]]&lt;=I$434,I$434,IF(Tabell2[[#This Row],[Yrkesaktivandel]]&gt;=I$435,I$435,Tabell2[[#This Row],[Yrkesaktivandel]]))</f>
        <v>0.85727500991145766</v>
      </c>
      <c r="S81" s="22">
        <f>IF(Tabell2[[#This Row],[Inntekt]]&lt;=J$434,J$434,IF(Tabell2[[#This Row],[Inntekt]]&gt;=J$435,J$435,Tabell2[[#This Row],[Inntekt]]))</f>
        <v>353600</v>
      </c>
      <c r="T81" s="22">
        <f>IF(Tabell2[[#This Row],[NIBR11-T]]&lt;=K$437,100,IF(Tabell2[[#This Row],[NIBR11-T]]&gt;=K$436,0,100*(K$436-Tabell2[[#This Row],[NIBR11-T]])/K$439))</f>
        <v>70</v>
      </c>
      <c r="U81" s="7">
        <f>IF(Tabell2[[#This Row],[ReisetidOslo-T]]&lt;=L$437,100,IF(Tabell2[[#This Row],[ReisetidOslo-T]]&gt;=L$436,0,100*(L$436-Tabell2[[#This Row],[ReisetidOslo-T]])/L$439))</f>
        <v>80.990127970736864</v>
      </c>
      <c r="V81" s="7">
        <f>100-(M$436-Tabell2[[#This Row],[Beftettotal-T]])*100/M$439</f>
        <v>39.745625369520205</v>
      </c>
      <c r="W81" s="7">
        <f>100-(N$436-Tabell2[[#This Row],[Befvekst10-T]])*100/N$439</f>
        <v>50.127608440887428</v>
      </c>
      <c r="X81" s="7">
        <f>100-(O$436-Tabell2[[#This Row],[Kvinneandel-T]])*100/O$439</f>
        <v>44.578398630549948</v>
      </c>
      <c r="Y81" s="7">
        <f>(P$436-Tabell2[[#This Row],[Eldreandel-T]])*100/P$439</f>
        <v>47.03856564219349</v>
      </c>
      <c r="Z81" s="7">
        <f>100-(Q$436-Tabell2[[#This Row],[Sysselsettingsvekst10-T]])*100/Q$439</f>
        <v>27.807270557223347</v>
      </c>
      <c r="AA81" s="7">
        <f>100-(R$436-Tabell2[[#This Row],[Yrkesaktivandel-T]])*100/R$439</f>
        <v>19.452562563684353</v>
      </c>
      <c r="AB81" s="7">
        <f>100-(S$436-Tabell2[[#This Row],[Inntekt-T]])*100/S$439</f>
        <v>25.493382865103314</v>
      </c>
      <c r="AC81" s="55">
        <f>Tabell2[[#This Row],[NIBR11-I]]*Vekter!$B$3</f>
        <v>14</v>
      </c>
      <c r="AD81" s="55">
        <f>Tabell2[[#This Row],[ReisetidOslo-I]]*Vekter!$C$3</f>
        <v>8.0990127970736872</v>
      </c>
      <c r="AE81" s="55">
        <f>Tabell2[[#This Row],[Beftettotal-I]]*Vekter!$D$3</f>
        <v>3.9745625369520208</v>
      </c>
      <c r="AF81" s="55">
        <f>Tabell2[[#This Row],[Befvekst10-I]]*Vekter!$E$3</f>
        <v>10.025521688177486</v>
      </c>
      <c r="AG81" s="55">
        <f>Tabell2[[#This Row],[Kvinneandel-I]]*Vekter!$F$3</f>
        <v>2.2289199315274977</v>
      </c>
      <c r="AH81" s="55">
        <f>Tabell2[[#This Row],[Eldreandel-I]]*Vekter!$G$3</f>
        <v>2.3519282821096748</v>
      </c>
      <c r="AI81" s="55">
        <f>Tabell2[[#This Row],[Sysselsettingsvekst10-I]]*Vekter!$H$3</f>
        <v>2.7807270557223349</v>
      </c>
      <c r="AJ81" s="55">
        <f>Tabell2[[#This Row],[Yrkesaktivandel-I]]*Vekter!$J$3</f>
        <v>1.9452562563684355</v>
      </c>
      <c r="AK81" s="55">
        <f>Tabell2[[#This Row],[Inntekt-I]]*Vekter!$L$3</f>
        <v>2.5493382865103316</v>
      </c>
      <c r="AL81" s="56">
        <f>SUM(Tabell2[[#This Row],[NIBR11-v]:[Inntekt-v]])</f>
        <v>47.955266834441481</v>
      </c>
    </row>
    <row r="82" spans="1:38" x14ac:dyDescent="0.25">
      <c r="A82" s="2" t="s">
        <v>79</v>
      </c>
      <c r="B82">
        <f>'Rådata-K'!M81</f>
        <v>5</v>
      </c>
      <c r="C82" s="7">
        <f>'Rådata-K'!L81</f>
        <v>58.166666666700003</v>
      </c>
      <c r="D82" s="34">
        <f>'Rådata-K'!N81</f>
        <v>29.235335814283179</v>
      </c>
      <c r="E82" s="34">
        <f>'Rådata-K'!O81</f>
        <v>4.1673243883188604E-2</v>
      </c>
      <c r="F82" s="34">
        <f>'Rådata-K'!P81</f>
        <v>0.11001666919230187</v>
      </c>
      <c r="G82" s="34">
        <f>'Rådata-K'!Q81</f>
        <v>0.16684346113047432</v>
      </c>
      <c r="H82" s="34">
        <f>'Rådata-K'!R81</f>
        <v>-6.7153951576062076E-2</v>
      </c>
      <c r="I82" s="34">
        <f>'Rådata-K'!S81</f>
        <v>0.86276595744680851</v>
      </c>
      <c r="J82" s="22">
        <f>'Rådata-K'!K81</f>
        <v>361100</v>
      </c>
      <c r="K82" s="22">
        <f>Tabell2[[#This Row],[NIBR11]]</f>
        <v>5</v>
      </c>
      <c r="L82" s="32">
        <f>IF(Tabell2[[#This Row],[ReisetidOslo]]&lt;=C$434,C$434,IF(Tabell2[[#This Row],[ReisetidOslo]]&gt;=C$435,C$435,Tabell2[[#This Row],[ReisetidOslo]]))</f>
        <v>58.166666666700003</v>
      </c>
      <c r="M82" s="32">
        <f>IF(Tabell2[[#This Row],[Beftettotal]]&lt;=D$434,D$434,IF(Tabell2[[#This Row],[Beftettotal]]&gt;=D$435,D$435,Tabell2[[#This Row],[Beftettotal]]))</f>
        <v>29.235335814283179</v>
      </c>
      <c r="N82" s="34">
        <f>IF(Tabell2[[#This Row],[Befvekst10]]&lt;=E$434,E$434,IF(Tabell2[[#This Row],[Befvekst10]]&gt;=E$435,E$435,Tabell2[[#This Row],[Befvekst10]]))</f>
        <v>4.1673243883188604E-2</v>
      </c>
      <c r="O82" s="34">
        <f>IF(Tabell2[[#This Row],[Kvinneandel]]&lt;=F$434,F$434,IF(Tabell2[[#This Row],[Kvinneandel]]&gt;=F$435,F$435,Tabell2[[#This Row],[Kvinneandel]]))</f>
        <v>0.11001666919230187</v>
      </c>
      <c r="P82" s="34">
        <f>IF(Tabell2[[#This Row],[Eldreandel]]&lt;=G$434,G$434,IF(Tabell2[[#This Row],[Eldreandel]]&gt;=G$435,G$435,Tabell2[[#This Row],[Eldreandel]]))</f>
        <v>0.16684346113047432</v>
      </c>
      <c r="Q82" s="34">
        <f>IF(Tabell2[[#This Row],[Sysselsettingsvekst10]]&lt;=H$434,H$434,IF(Tabell2[[#This Row],[Sysselsettingsvekst10]]&gt;=H$435,H$435,Tabell2[[#This Row],[Sysselsettingsvekst10]]))</f>
        <v>-6.7153951576062076E-2</v>
      </c>
      <c r="R82" s="34">
        <f>IF(Tabell2[[#This Row],[Yrkesaktivandel]]&lt;=I$434,I$434,IF(Tabell2[[#This Row],[Yrkesaktivandel]]&gt;=I$435,I$435,Tabell2[[#This Row],[Yrkesaktivandel]]))</f>
        <v>0.86276595744680851</v>
      </c>
      <c r="S82" s="22">
        <f>IF(Tabell2[[#This Row],[Inntekt]]&lt;=J$434,J$434,IF(Tabell2[[#This Row],[Inntekt]]&gt;=J$435,J$435,Tabell2[[#This Row],[Inntekt]]))</f>
        <v>361100</v>
      </c>
      <c r="T82" s="22">
        <f>IF(Tabell2[[#This Row],[NIBR11-T]]&lt;=K$437,100,IF(Tabell2[[#This Row],[NIBR11-T]]&gt;=K$436,0,100*(K$436-Tabell2[[#This Row],[NIBR11-T]])/K$439))</f>
        <v>60</v>
      </c>
      <c r="U82" s="7">
        <f>IF(Tabell2[[#This Row],[ReisetidOslo-T]]&lt;=L$437,100,IF(Tabell2[[#This Row],[ReisetidOslo-T]]&gt;=L$436,0,100*(L$436-Tabell2[[#This Row],[ReisetidOslo-T]])/L$439))</f>
        <v>97.531261425945416</v>
      </c>
      <c r="V82" s="7">
        <f>100-(M$436-Tabell2[[#This Row],[Beftettotal-T]])*100/M$439</f>
        <v>21.586928660333044</v>
      </c>
      <c r="W82" s="7">
        <f>100-(N$436-Tabell2[[#This Row],[Befvekst10-T]])*100/N$439</f>
        <v>47.458529174821393</v>
      </c>
      <c r="X82" s="7">
        <f>100-(O$436-Tabell2[[#This Row],[Kvinneandel-T]])*100/O$439</f>
        <v>51.598340565469023</v>
      </c>
      <c r="Y82" s="7">
        <f>(P$436-Tabell2[[#This Row],[Eldreandel-T]])*100/P$439</f>
        <v>52.093654514389321</v>
      </c>
      <c r="Z82" s="7">
        <f>100-(Q$436-Tabell2[[#This Row],[Sysselsettingsvekst10-T]])*100/Q$439</f>
        <v>0.76751502370012759</v>
      </c>
      <c r="AA82" s="7">
        <f>100-(R$436-Tabell2[[#This Row],[Yrkesaktivandel-T]])*100/R$439</f>
        <v>23.674506816277344</v>
      </c>
      <c r="AB82" s="7">
        <f>100-(S$436-Tabell2[[#This Row],[Inntekt-T]])*100/S$439</f>
        <v>34.20013930810309</v>
      </c>
      <c r="AC82" s="55">
        <f>Tabell2[[#This Row],[NIBR11-I]]*Vekter!$B$3</f>
        <v>12</v>
      </c>
      <c r="AD82" s="55">
        <f>Tabell2[[#This Row],[ReisetidOslo-I]]*Vekter!$C$3</f>
        <v>9.7531261425945424</v>
      </c>
      <c r="AE82" s="55">
        <f>Tabell2[[#This Row],[Beftettotal-I]]*Vekter!$D$3</f>
        <v>2.1586928660333045</v>
      </c>
      <c r="AF82" s="55">
        <f>Tabell2[[#This Row],[Befvekst10-I]]*Vekter!$E$3</f>
        <v>9.4917058349642787</v>
      </c>
      <c r="AG82" s="55">
        <f>Tabell2[[#This Row],[Kvinneandel-I]]*Vekter!$F$3</f>
        <v>2.5799170282734512</v>
      </c>
      <c r="AH82" s="55">
        <f>Tabell2[[#This Row],[Eldreandel-I]]*Vekter!$G$3</f>
        <v>2.6046827257194662</v>
      </c>
      <c r="AI82" s="55">
        <f>Tabell2[[#This Row],[Sysselsettingsvekst10-I]]*Vekter!$H$3</f>
        <v>7.675150237001277E-2</v>
      </c>
      <c r="AJ82" s="55">
        <f>Tabell2[[#This Row],[Yrkesaktivandel-I]]*Vekter!$J$3</f>
        <v>2.3674506816277345</v>
      </c>
      <c r="AK82" s="55">
        <f>Tabell2[[#This Row],[Inntekt-I]]*Vekter!$L$3</f>
        <v>3.4200139308103092</v>
      </c>
      <c r="AL82" s="56">
        <f>SUM(Tabell2[[#This Row],[NIBR11-v]:[Inntekt-v]])</f>
        <v>44.452340712393095</v>
      </c>
    </row>
    <row r="83" spans="1:38" x14ac:dyDescent="0.25">
      <c r="A83" s="2" t="s">
        <v>80</v>
      </c>
      <c r="B83">
        <f>'Rådata-K'!M82</f>
        <v>1</v>
      </c>
      <c r="C83" s="7">
        <f>'Rådata-K'!L82</f>
        <v>50.2166666667</v>
      </c>
      <c r="D83" s="34">
        <f>'Rådata-K'!N82</f>
        <v>30.849095394736846</v>
      </c>
      <c r="E83" s="34">
        <f>'Rådata-K'!O82</f>
        <v>5.8553791887125284E-2</v>
      </c>
      <c r="F83" s="34">
        <f>'Rådata-K'!P82</f>
        <v>0.11718316116849939</v>
      </c>
      <c r="G83" s="34">
        <f>'Rådata-K'!Q82</f>
        <v>0.13595468177274242</v>
      </c>
      <c r="H83" s="34">
        <f>'Rådata-K'!R82</f>
        <v>9.4831673779038894E-4</v>
      </c>
      <c r="I83" s="34">
        <f>'Rådata-K'!S82</f>
        <v>0.86884629838406613</v>
      </c>
      <c r="J83" s="22">
        <f>'Rådata-K'!K82</f>
        <v>388900</v>
      </c>
      <c r="K83" s="22">
        <f>Tabell2[[#This Row],[NIBR11]]</f>
        <v>1</v>
      </c>
      <c r="L83" s="32">
        <f>IF(Tabell2[[#This Row],[ReisetidOslo]]&lt;=C$434,C$434,IF(Tabell2[[#This Row],[ReisetidOslo]]&gt;=C$435,C$435,Tabell2[[#This Row],[ReisetidOslo]]))</f>
        <v>52.54</v>
      </c>
      <c r="M83" s="32">
        <f>IF(Tabell2[[#This Row],[Beftettotal]]&lt;=D$434,D$434,IF(Tabell2[[#This Row],[Beftettotal]]&gt;=D$435,D$435,Tabell2[[#This Row],[Beftettotal]]))</f>
        <v>30.849095394736846</v>
      </c>
      <c r="N83" s="34">
        <f>IF(Tabell2[[#This Row],[Befvekst10]]&lt;=E$434,E$434,IF(Tabell2[[#This Row],[Befvekst10]]&gt;=E$435,E$435,Tabell2[[#This Row],[Befvekst10]]))</f>
        <v>5.8553791887125284E-2</v>
      </c>
      <c r="O83" s="34">
        <f>IF(Tabell2[[#This Row],[Kvinneandel]]&lt;=F$434,F$434,IF(Tabell2[[#This Row],[Kvinneandel]]&gt;=F$435,F$435,Tabell2[[#This Row],[Kvinneandel]]))</f>
        <v>0.11718316116849939</v>
      </c>
      <c r="P83" s="34">
        <f>IF(Tabell2[[#This Row],[Eldreandel]]&lt;=G$434,G$434,IF(Tabell2[[#This Row],[Eldreandel]]&gt;=G$435,G$435,Tabell2[[#This Row],[Eldreandel]]))</f>
        <v>0.13595468177274242</v>
      </c>
      <c r="Q83" s="34">
        <f>IF(Tabell2[[#This Row],[Sysselsettingsvekst10]]&lt;=H$434,H$434,IF(Tabell2[[#This Row],[Sysselsettingsvekst10]]&gt;=H$435,H$435,Tabell2[[#This Row],[Sysselsettingsvekst10]]))</f>
        <v>9.4831673779038894E-4</v>
      </c>
      <c r="R83" s="34">
        <f>IF(Tabell2[[#This Row],[Yrkesaktivandel]]&lt;=I$434,I$434,IF(Tabell2[[#This Row],[Yrkesaktivandel]]&gt;=I$435,I$435,Tabell2[[#This Row],[Yrkesaktivandel]]))</f>
        <v>0.86884629838406613</v>
      </c>
      <c r="S83" s="22">
        <f>IF(Tabell2[[#This Row],[Inntekt]]&lt;=J$434,J$434,IF(Tabell2[[#This Row],[Inntekt]]&gt;=J$435,J$435,Tabell2[[#This Row],[Inntekt]]))</f>
        <v>388900</v>
      </c>
      <c r="T83" s="22">
        <f>IF(Tabell2[[#This Row],[NIBR11-T]]&lt;=K$437,100,IF(Tabell2[[#This Row],[NIBR11-T]]&gt;=K$436,0,100*(K$436-Tabell2[[#This Row],[NIBR11-T]])/K$439))</f>
        <v>100</v>
      </c>
      <c r="U83" s="7">
        <f>IF(Tabell2[[#This Row],[ReisetidOslo-T]]&lt;=L$437,100,IF(Tabell2[[#This Row],[ReisetidOslo-T]]&gt;=L$436,0,100*(L$436-Tabell2[[#This Row],[ReisetidOslo-T]])/L$439))</f>
        <v>100</v>
      </c>
      <c r="V83" s="7">
        <f>100-(M$436-Tabell2[[#This Row],[Beftettotal-T]])*100/M$439</f>
        <v>22.835285917148525</v>
      </c>
      <c r="W83" s="7">
        <f>100-(N$436-Tabell2[[#This Row],[Befvekst10-T]])*100/N$439</f>
        <v>54.25525485630682</v>
      </c>
      <c r="X83" s="7">
        <f>100-(O$436-Tabell2[[#This Row],[Kvinneandel-T]])*100/O$439</f>
        <v>70.535662812493939</v>
      </c>
      <c r="Y83" s="7">
        <f>(P$436-Tabell2[[#This Row],[Eldreandel-T]])*100/P$439</f>
        <v>85.940094369689604</v>
      </c>
      <c r="Z83" s="7">
        <f>100-(Q$436-Tabell2[[#This Row],[Sysselsettingsvekst10-T]])*100/Q$439</f>
        <v>21.030725548125972</v>
      </c>
      <c r="AA83" s="7">
        <f>100-(R$436-Tabell2[[#This Row],[Yrkesaktivandel-T]])*100/R$439</f>
        <v>28.349630792347227</v>
      </c>
      <c r="AB83" s="7">
        <f>100-(S$436-Tabell2[[#This Row],[Inntekt-T]])*100/S$439</f>
        <v>66.473183190155567</v>
      </c>
      <c r="AC83" s="55">
        <f>Tabell2[[#This Row],[NIBR11-I]]*Vekter!$B$3</f>
        <v>20</v>
      </c>
      <c r="AD83" s="55">
        <f>Tabell2[[#This Row],[ReisetidOslo-I]]*Vekter!$C$3</f>
        <v>10</v>
      </c>
      <c r="AE83" s="55">
        <f>Tabell2[[#This Row],[Beftettotal-I]]*Vekter!$D$3</f>
        <v>2.2835285917148527</v>
      </c>
      <c r="AF83" s="55">
        <f>Tabell2[[#This Row],[Befvekst10-I]]*Vekter!$E$3</f>
        <v>10.851050971261365</v>
      </c>
      <c r="AG83" s="55">
        <f>Tabell2[[#This Row],[Kvinneandel-I]]*Vekter!$F$3</f>
        <v>3.5267831406246972</v>
      </c>
      <c r="AH83" s="55">
        <f>Tabell2[[#This Row],[Eldreandel-I]]*Vekter!$G$3</f>
        <v>4.2970047184844802</v>
      </c>
      <c r="AI83" s="55">
        <f>Tabell2[[#This Row],[Sysselsettingsvekst10-I]]*Vekter!$H$3</f>
        <v>2.1030725548125973</v>
      </c>
      <c r="AJ83" s="55">
        <f>Tabell2[[#This Row],[Yrkesaktivandel-I]]*Vekter!$J$3</f>
        <v>2.8349630792347229</v>
      </c>
      <c r="AK83" s="55">
        <f>Tabell2[[#This Row],[Inntekt-I]]*Vekter!$L$3</f>
        <v>6.6473183190155574</v>
      </c>
      <c r="AL83" s="56">
        <f>SUM(Tabell2[[#This Row],[NIBR11-v]:[Inntekt-v]])</f>
        <v>62.54372137514828</v>
      </c>
    </row>
    <row r="84" spans="1:38" x14ac:dyDescent="0.25">
      <c r="A84" s="2" t="s">
        <v>81</v>
      </c>
      <c r="B84">
        <f>'Rådata-K'!M83</f>
        <v>1</v>
      </c>
      <c r="C84" s="7">
        <f>'Rådata-K'!L83</f>
        <v>61.583333333299997</v>
      </c>
      <c r="D84" s="34">
        <f>'Rådata-K'!N83</f>
        <v>18.08630146038459</v>
      </c>
      <c r="E84" s="34">
        <f>'Rådata-K'!O83</f>
        <v>5.1883166794773228E-2</v>
      </c>
      <c r="F84" s="34">
        <f>'Rådata-K'!P83</f>
        <v>0.10675922542930216</v>
      </c>
      <c r="G84" s="34">
        <f>'Rådata-K'!Q83</f>
        <v>0.16887102667153819</v>
      </c>
      <c r="H84" s="34">
        <f>'Rådata-K'!R83</f>
        <v>0.12852208689329214</v>
      </c>
      <c r="I84" s="34">
        <f>'Rådata-K'!S83</f>
        <v>0.87202457128231381</v>
      </c>
      <c r="J84" s="22">
        <f>'Rådata-K'!K83</f>
        <v>369600</v>
      </c>
      <c r="K84" s="22">
        <f>Tabell2[[#This Row],[NIBR11]]</f>
        <v>1</v>
      </c>
      <c r="L84" s="32">
        <f>IF(Tabell2[[#This Row],[ReisetidOslo]]&lt;=C$434,C$434,IF(Tabell2[[#This Row],[ReisetidOslo]]&gt;=C$435,C$435,Tabell2[[#This Row],[ReisetidOslo]]))</f>
        <v>61.583333333299997</v>
      </c>
      <c r="M84" s="32">
        <f>IF(Tabell2[[#This Row],[Beftettotal]]&lt;=D$434,D$434,IF(Tabell2[[#This Row],[Beftettotal]]&gt;=D$435,D$435,Tabell2[[#This Row],[Beftettotal]]))</f>
        <v>18.08630146038459</v>
      </c>
      <c r="N84" s="34">
        <f>IF(Tabell2[[#This Row],[Befvekst10]]&lt;=E$434,E$434,IF(Tabell2[[#This Row],[Befvekst10]]&gt;=E$435,E$435,Tabell2[[#This Row],[Befvekst10]]))</f>
        <v>5.1883166794773228E-2</v>
      </c>
      <c r="O84" s="34">
        <f>IF(Tabell2[[#This Row],[Kvinneandel]]&lt;=F$434,F$434,IF(Tabell2[[#This Row],[Kvinneandel]]&gt;=F$435,F$435,Tabell2[[#This Row],[Kvinneandel]]))</f>
        <v>0.10675922542930216</v>
      </c>
      <c r="P84" s="34">
        <f>IF(Tabell2[[#This Row],[Eldreandel]]&lt;=G$434,G$434,IF(Tabell2[[#This Row],[Eldreandel]]&gt;=G$435,G$435,Tabell2[[#This Row],[Eldreandel]]))</f>
        <v>0.16887102667153819</v>
      </c>
      <c r="Q84" s="34">
        <f>IF(Tabell2[[#This Row],[Sysselsettingsvekst10]]&lt;=H$434,H$434,IF(Tabell2[[#This Row],[Sysselsettingsvekst10]]&gt;=H$435,H$435,Tabell2[[#This Row],[Sysselsettingsvekst10]]))</f>
        <v>0.12852208689329214</v>
      </c>
      <c r="R84" s="34">
        <f>IF(Tabell2[[#This Row],[Yrkesaktivandel]]&lt;=I$434,I$434,IF(Tabell2[[#This Row],[Yrkesaktivandel]]&gt;=I$435,I$435,Tabell2[[#This Row],[Yrkesaktivandel]]))</f>
        <v>0.87202457128231381</v>
      </c>
      <c r="S84" s="22">
        <f>IF(Tabell2[[#This Row],[Inntekt]]&lt;=J$434,J$434,IF(Tabell2[[#This Row],[Inntekt]]&gt;=J$435,J$435,Tabell2[[#This Row],[Inntekt]]))</f>
        <v>369600</v>
      </c>
      <c r="T84" s="22">
        <f>IF(Tabell2[[#This Row],[NIBR11-T]]&lt;=K$437,100,IF(Tabell2[[#This Row],[NIBR11-T]]&gt;=K$436,0,100*(K$436-Tabell2[[#This Row],[NIBR11-T]])/K$439))</f>
        <v>100</v>
      </c>
      <c r="U84" s="7">
        <f>IF(Tabell2[[#This Row],[ReisetidOslo-T]]&lt;=L$437,100,IF(Tabell2[[#This Row],[ReisetidOslo-T]]&gt;=L$436,0,100*(L$436-Tabell2[[#This Row],[ReisetidOslo-T]])/L$439))</f>
        <v>96.032175502757255</v>
      </c>
      <c r="V84" s="7">
        <f>100-(M$436-Tabell2[[#This Row],[Beftettotal-T]])*100/M$439</f>
        <v>12.962361462868728</v>
      </c>
      <c r="W84" s="7">
        <f>100-(N$436-Tabell2[[#This Row],[Befvekst10-T]])*100/N$439</f>
        <v>51.569417354693897</v>
      </c>
      <c r="X84" s="7">
        <f>100-(O$436-Tabell2[[#This Row],[Kvinneandel-T]])*100/O$439</f>
        <v>42.990605784439168</v>
      </c>
      <c r="Y84" s="7">
        <f>(P$436-Tabell2[[#This Row],[Eldreandel-T]])*100/P$439</f>
        <v>49.871945642584407</v>
      </c>
      <c r="Z84" s="7">
        <f>100-(Q$436-Tabell2[[#This Row],[Sysselsettingsvekst10-T]])*100/Q$439</f>
        <v>58.98914053281203</v>
      </c>
      <c r="AA84" s="7">
        <f>100-(R$436-Tabell2[[#This Row],[Yrkesaktivandel-T]])*100/R$439</f>
        <v>30.793378598994494</v>
      </c>
      <c r="AB84" s="7">
        <f>100-(S$436-Tabell2[[#This Row],[Inntekt-T]])*100/S$439</f>
        <v>44.067796610169495</v>
      </c>
      <c r="AC84" s="55">
        <f>Tabell2[[#This Row],[NIBR11-I]]*Vekter!$B$3</f>
        <v>20</v>
      </c>
      <c r="AD84" s="55">
        <f>Tabell2[[#This Row],[ReisetidOslo-I]]*Vekter!$C$3</f>
        <v>9.6032175502757262</v>
      </c>
      <c r="AE84" s="55">
        <f>Tabell2[[#This Row],[Beftettotal-I]]*Vekter!$D$3</f>
        <v>1.2962361462868728</v>
      </c>
      <c r="AF84" s="55">
        <f>Tabell2[[#This Row],[Befvekst10-I]]*Vekter!$E$3</f>
        <v>10.31388347093878</v>
      </c>
      <c r="AG84" s="55">
        <f>Tabell2[[#This Row],[Kvinneandel-I]]*Vekter!$F$3</f>
        <v>2.1495302892219583</v>
      </c>
      <c r="AH84" s="55">
        <f>Tabell2[[#This Row],[Eldreandel-I]]*Vekter!$G$3</f>
        <v>2.4935972821292207</v>
      </c>
      <c r="AI84" s="55">
        <f>Tabell2[[#This Row],[Sysselsettingsvekst10-I]]*Vekter!$H$3</f>
        <v>5.898914053281203</v>
      </c>
      <c r="AJ84" s="55">
        <f>Tabell2[[#This Row],[Yrkesaktivandel-I]]*Vekter!$J$3</f>
        <v>3.0793378598994496</v>
      </c>
      <c r="AK84" s="55">
        <f>Tabell2[[#This Row],[Inntekt-I]]*Vekter!$L$3</f>
        <v>4.4067796610169498</v>
      </c>
      <c r="AL84" s="56">
        <f>SUM(Tabell2[[#This Row],[NIBR11-v]:[Inntekt-v]])</f>
        <v>59.241496313050156</v>
      </c>
    </row>
    <row r="85" spans="1:38" x14ac:dyDescent="0.25">
      <c r="A85" s="2" t="s">
        <v>82</v>
      </c>
      <c r="B85">
        <f>'Rådata-K'!M84</f>
        <v>4</v>
      </c>
      <c r="C85" s="7">
        <f>'Rådata-K'!L84</f>
        <v>97.383333333300001</v>
      </c>
      <c r="D85" s="34">
        <f>'Rådata-K'!N84</f>
        <v>7.924652644296776</v>
      </c>
      <c r="E85" s="34">
        <f>'Rådata-K'!O84</f>
        <v>-3.928095872170434E-2</v>
      </c>
      <c r="F85" s="34">
        <f>'Rådata-K'!P84</f>
        <v>9.511434511434512E-2</v>
      </c>
      <c r="G85" s="34">
        <f>'Rådata-K'!Q84</f>
        <v>0.17584892584892584</v>
      </c>
      <c r="H85" s="34">
        <f>'Rådata-K'!R84</f>
        <v>-9.0713902308105165E-2</v>
      </c>
      <c r="I85" s="34">
        <f>'Rådata-K'!S84</f>
        <v>0.78930065750149436</v>
      </c>
      <c r="J85" s="22">
        <f>'Rådata-K'!K84</f>
        <v>322400</v>
      </c>
      <c r="K85" s="22">
        <f>Tabell2[[#This Row],[NIBR11]]</f>
        <v>4</v>
      </c>
      <c r="L85" s="32">
        <f>IF(Tabell2[[#This Row],[ReisetidOslo]]&lt;=C$434,C$434,IF(Tabell2[[#This Row],[ReisetidOslo]]&gt;=C$435,C$435,Tabell2[[#This Row],[ReisetidOslo]]))</f>
        <v>97.383333333300001</v>
      </c>
      <c r="M85" s="32">
        <f>IF(Tabell2[[#This Row],[Beftettotal]]&lt;=D$434,D$434,IF(Tabell2[[#This Row],[Beftettotal]]&gt;=D$435,D$435,Tabell2[[#This Row],[Beftettotal]]))</f>
        <v>7.924652644296776</v>
      </c>
      <c r="N85" s="34">
        <f>IF(Tabell2[[#This Row],[Befvekst10]]&lt;=E$434,E$434,IF(Tabell2[[#This Row],[Befvekst10]]&gt;=E$435,E$435,Tabell2[[#This Row],[Befvekst10]]))</f>
        <v>-3.928095872170434E-2</v>
      </c>
      <c r="O85" s="34">
        <f>IF(Tabell2[[#This Row],[Kvinneandel]]&lt;=F$434,F$434,IF(Tabell2[[#This Row],[Kvinneandel]]&gt;=F$435,F$435,Tabell2[[#This Row],[Kvinneandel]]))</f>
        <v>9.511434511434512E-2</v>
      </c>
      <c r="P85" s="34">
        <f>IF(Tabell2[[#This Row],[Eldreandel]]&lt;=G$434,G$434,IF(Tabell2[[#This Row],[Eldreandel]]&gt;=G$435,G$435,Tabell2[[#This Row],[Eldreandel]]))</f>
        <v>0.17584892584892584</v>
      </c>
      <c r="Q85" s="34">
        <f>IF(Tabell2[[#This Row],[Sysselsettingsvekst10]]&lt;=H$434,H$434,IF(Tabell2[[#This Row],[Sysselsettingsvekst10]]&gt;=H$435,H$435,Tabell2[[#This Row],[Sysselsettingsvekst10]]))</f>
        <v>-6.9733479337269061E-2</v>
      </c>
      <c r="R85" s="34">
        <f>IF(Tabell2[[#This Row],[Yrkesaktivandel]]&lt;=I$434,I$434,IF(Tabell2[[#This Row],[Yrkesaktivandel]]&gt;=I$435,I$435,Tabell2[[#This Row],[Yrkesaktivandel]]))</f>
        <v>0.83197552842263423</v>
      </c>
      <c r="S85" s="22">
        <f>IF(Tabell2[[#This Row],[Inntekt]]&lt;=J$434,J$434,IF(Tabell2[[#This Row],[Inntekt]]&gt;=J$435,J$435,Tabell2[[#This Row],[Inntekt]]))</f>
        <v>331640</v>
      </c>
      <c r="T85" s="22">
        <f>IF(Tabell2[[#This Row],[NIBR11-T]]&lt;=K$437,100,IF(Tabell2[[#This Row],[NIBR11-T]]&gt;=K$436,0,100*(K$436-Tabell2[[#This Row],[NIBR11-T]])/K$439))</f>
        <v>70</v>
      </c>
      <c r="U85" s="7">
        <f>IF(Tabell2[[#This Row],[ReisetidOslo-T]]&lt;=L$437,100,IF(Tabell2[[#This Row],[ReisetidOslo-T]]&gt;=L$436,0,100*(L$436-Tabell2[[#This Row],[ReisetidOslo-T]])/L$439))</f>
        <v>80.324680073142773</v>
      </c>
      <c r="V85" s="7">
        <f>100-(M$436-Tabell2[[#This Row],[Beftettotal-T]])*100/M$439</f>
        <v>5.1016068657015552</v>
      </c>
      <c r="W85" s="7">
        <f>100-(N$436-Tabell2[[#This Row],[Befvekst10-T]])*100/N$439</f>
        <v>14.863407989150545</v>
      </c>
      <c r="X85" s="7">
        <f>100-(O$436-Tabell2[[#This Row],[Kvinneandel-T]])*100/O$439</f>
        <v>12.219225339890613</v>
      </c>
      <c r="Y85" s="7">
        <f>(P$436-Tabell2[[#This Row],[Eldreandel-T]])*100/P$439</f>
        <v>42.225899093170291</v>
      </c>
      <c r="Z85" s="7">
        <f>100-(Q$436-Tabell2[[#This Row],[Sysselsettingsvekst10-T]])*100/Q$439</f>
        <v>0</v>
      </c>
      <c r="AA85" s="7">
        <f>100-(R$436-Tabell2[[#This Row],[Yrkesaktivandel-T]])*100/R$439</f>
        <v>0</v>
      </c>
      <c r="AB85" s="7">
        <f>100-(S$436-Tabell2[[#This Row],[Inntekt-T]])*100/S$439</f>
        <v>0</v>
      </c>
      <c r="AC85" s="55">
        <f>Tabell2[[#This Row],[NIBR11-I]]*Vekter!$B$3</f>
        <v>14</v>
      </c>
      <c r="AD85" s="55">
        <f>Tabell2[[#This Row],[ReisetidOslo-I]]*Vekter!$C$3</f>
        <v>8.0324680073142769</v>
      </c>
      <c r="AE85" s="55">
        <f>Tabell2[[#This Row],[Beftettotal-I]]*Vekter!$D$3</f>
        <v>0.51016068657015556</v>
      </c>
      <c r="AF85" s="55">
        <f>Tabell2[[#This Row],[Befvekst10-I]]*Vekter!$E$3</f>
        <v>2.9726815978301091</v>
      </c>
      <c r="AG85" s="55">
        <f>Tabell2[[#This Row],[Kvinneandel-I]]*Vekter!$F$3</f>
        <v>0.61096126699453068</v>
      </c>
      <c r="AH85" s="55">
        <f>Tabell2[[#This Row],[Eldreandel-I]]*Vekter!$G$3</f>
        <v>2.1112949546585145</v>
      </c>
      <c r="AI85" s="55">
        <f>Tabell2[[#This Row],[Sysselsettingsvekst10-I]]*Vekter!$H$3</f>
        <v>0</v>
      </c>
      <c r="AJ85" s="55">
        <f>Tabell2[[#This Row],[Yrkesaktivandel-I]]*Vekter!$J$3</f>
        <v>0</v>
      </c>
      <c r="AK85" s="55">
        <f>Tabell2[[#This Row],[Inntekt-I]]*Vekter!$L$3</f>
        <v>0</v>
      </c>
      <c r="AL85" s="56">
        <f>SUM(Tabell2[[#This Row],[NIBR11-v]:[Inntekt-v]])</f>
        <v>28.237566513367589</v>
      </c>
    </row>
    <row r="86" spans="1:38" x14ac:dyDescent="0.25">
      <c r="A86" s="2" t="s">
        <v>83</v>
      </c>
      <c r="B86">
        <f>'Rådata-K'!M85</f>
        <v>4</v>
      </c>
      <c r="C86" s="7">
        <f>'Rådata-K'!L85</f>
        <v>119.9</v>
      </c>
      <c r="D86" s="34">
        <f>'Rådata-K'!N85</f>
        <v>7.0553014204813094</v>
      </c>
      <c r="E86" s="34">
        <f>'Rådata-K'!O85</f>
        <v>-1.5627282021323241E-2</v>
      </c>
      <c r="F86" s="34">
        <f>'Rådata-K'!P85</f>
        <v>0.10118694362017804</v>
      </c>
      <c r="G86" s="34">
        <f>'Rådata-K'!Q85</f>
        <v>0.18753709198813057</v>
      </c>
      <c r="H86" s="34">
        <f>'Rådata-K'!R85</f>
        <v>8.8094360486546286E-2</v>
      </c>
      <c r="I86" s="34">
        <f>'Rådata-K'!S85</f>
        <v>0.85564304461942253</v>
      </c>
      <c r="J86" s="22">
        <f>'Rådata-K'!K85</f>
        <v>328500</v>
      </c>
      <c r="K86" s="22">
        <f>Tabell2[[#This Row],[NIBR11]]</f>
        <v>4</v>
      </c>
      <c r="L86" s="32">
        <f>IF(Tabell2[[#This Row],[ReisetidOslo]]&lt;=C$434,C$434,IF(Tabell2[[#This Row],[ReisetidOslo]]&gt;=C$435,C$435,Tabell2[[#This Row],[ReisetidOslo]]))</f>
        <v>119.9</v>
      </c>
      <c r="M86" s="32">
        <f>IF(Tabell2[[#This Row],[Beftettotal]]&lt;=D$434,D$434,IF(Tabell2[[#This Row],[Beftettotal]]&gt;=D$435,D$435,Tabell2[[#This Row],[Beftettotal]]))</f>
        <v>7.0553014204813094</v>
      </c>
      <c r="N86" s="34">
        <f>IF(Tabell2[[#This Row],[Befvekst10]]&lt;=E$434,E$434,IF(Tabell2[[#This Row],[Befvekst10]]&gt;=E$435,E$435,Tabell2[[#This Row],[Befvekst10]]))</f>
        <v>-1.5627282021323241E-2</v>
      </c>
      <c r="O86" s="34">
        <f>IF(Tabell2[[#This Row],[Kvinneandel]]&lt;=F$434,F$434,IF(Tabell2[[#This Row],[Kvinneandel]]&gt;=F$435,F$435,Tabell2[[#This Row],[Kvinneandel]]))</f>
        <v>0.10118694362017804</v>
      </c>
      <c r="P86" s="34">
        <f>IF(Tabell2[[#This Row],[Eldreandel]]&lt;=G$434,G$434,IF(Tabell2[[#This Row],[Eldreandel]]&gt;=G$435,G$435,Tabell2[[#This Row],[Eldreandel]]))</f>
        <v>0.18753709198813057</v>
      </c>
      <c r="Q86" s="34">
        <f>IF(Tabell2[[#This Row],[Sysselsettingsvekst10]]&lt;=H$434,H$434,IF(Tabell2[[#This Row],[Sysselsettingsvekst10]]&gt;=H$435,H$435,Tabell2[[#This Row],[Sysselsettingsvekst10]]))</f>
        <v>8.8094360486546286E-2</v>
      </c>
      <c r="R86" s="34">
        <f>IF(Tabell2[[#This Row],[Yrkesaktivandel]]&lt;=I$434,I$434,IF(Tabell2[[#This Row],[Yrkesaktivandel]]&gt;=I$435,I$435,Tabell2[[#This Row],[Yrkesaktivandel]]))</f>
        <v>0.85564304461942253</v>
      </c>
      <c r="S86" s="22">
        <f>IF(Tabell2[[#This Row],[Inntekt]]&lt;=J$434,J$434,IF(Tabell2[[#This Row],[Inntekt]]&gt;=J$435,J$435,Tabell2[[#This Row],[Inntekt]]))</f>
        <v>331640</v>
      </c>
      <c r="T86" s="22">
        <f>IF(Tabell2[[#This Row],[NIBR11-T]]&lt;=K$437,100,IF(Tabell2[[#This Row],[NIBR11-T]]&gt;=K$436,0,100*(K$436-Tabell2[[#This Row],[NIBR11-T]])/K$439))</f>
        <v>70</v>
      </c>
      <c r="U86" s="7">
        <f>IF(Tabell2[[#This Row],[ReisetidOslo-T]]&lt;=L$437,100,IF(Tabell2[[#This Row],[ReisetidOslo-T]]&gt;=L$436,0,100*(L$436-Tabell2[[#This Row],[ReisetidOslo-T]])/L$439))</f>
        <v>70.445338208412522</v>
      </c>
      <c r="V86" s="7">
        <f>100-(M$436-Tabell2[[#This Row],[Beftettotal-T]])*100/M$439</f>
        <v>4.4291021617069504</v>
      </c>
      <c r="W86" s="7">
        <f>100-(N$436-Tabell2[[#This Row],[Befvekst10-T]])*100/N$439</f>
        <v>24.387242870194768</v>
      </c>
      <c r="X86" s="7">
        <f>100-(O$436-Tabell2[[#This Row],[Kvinneandel-T]])*100/O$439</f>
        <v>28.26595436208332</v>
      </c>
      <c r="Y86" s="7">
        <f>(P$436-Tabell2[[#This Row],[Eldreandel-T]])*100/P$439</f>
        <v>29.418568390077123</v>
      </c>
      <c r="Z86" s="7">
        <f>100-(Q$436-Tabell2[[#This Row],[Sysselsettingsvekst10-T]])*100/Q$439</f>
        <v>46.960238243853304</v>
      </c>
      <c r="AA86" s="7">
        <f>100-(R$436-Tabell2[[#This Row],[Yrkesaktivandel-T]])*100/R$439</f>
        <v>18.197757916438945</v>
      </c>
      <c r="AB86" s="7">
        <f>100-(S$436-Tabell2[[#This Row],[Inntekt-T]])*100/S$439</f>
        <v>0</v>
      </c>
      <c r="AC86" s="55">
        <f>Tabell2[[#This Row],[NIBR11-I]]*Vekter!$B$3</f>
        <v>14</v>
      </c>
      <c r="AD86" s="55">
        <f>Tabell2[[#This Row],[ReisetidOslo-I]]*Vekter!$C$3</f>
        <v>7.0445338208412522</v>
      </c>
      <c r="AE86" s="55">
        <f>Tabell2[[#This Row],[Beftettotal-I]]*Vekter!$D$3</f>
        <v>0.44291021617069504</v>
      </c>
      <c r="AF86" s="55">
        <f>Tabell2[[#This Row],[Befvekst10-I]]*Vekter!$E$3</f>
        <v>4.8774485740389544</v>
      </c>
      <c r="AG86" s="55">
        <f>Tabell2[[#This Row],[Kvinneandel-I]]*Vekter!$F$3</f>
        <v>1.4132977181041662</v>
      </c>
      <c r="AH86" s="55">
        <f>Tabell2[[#This Row],[Eldreandel-I]]*Vekter!$G$3</f>
        <v>1.4709284195038563</v>
      </c>
      <c r="AI86" s="55">
        <f>Tabell2[[#This Row],[Sysselsettingsvekst10-I]]*Vekter!$H$3</f>
        <v>4.6960238243853309</v>
      </c>
      <c r="AJ86" s="55">
        <f>Tabell2[[#This Row],[Yrkesaktivandel-I]]*Vekter!$J$3</f>
        <v>1.8197757916438946</v>
      </c>
      <c r="AK86" s="55">
        <f>Tabell2[[#This Row],[Inntekt-I]]*Vekter!$L$3</f>
        <v>0</v>
      </c>
      <c r="AL86" s="56">
        <f>SUM(Tabell2[[#This Row],[NIBR11-v]:[Inntekt-v]])</f>
        <v>35.764918364688143</v>
      </c>
    </row>
    <row r="87" spans="1:38" x14ac:dyDescent="0.25">
      <c r="A87" s="2" t="s">
        <v>84</v>
      </c>
      <c r="B87">
        <f>'Rådata-K'!M86</f>
        <v>10</v>
      </c>
      <c r="C87" s="7">
        <f>'Rådata-K'!L86</f>
        <v>122.833333333</v>
      </c>
      <c r="D87" s="34">
        <f>'Rådata-K'!N86</f>
        <v>2.7898001875495924</v>
      </c>
      <c r="E87" s="34">
        <f>'Rådata-K'!O86</f>
        <v>-5.2373660030627822E-2</v>
      </c>
      <c r="F87" s="34">
        <f>'Rådata-K'!P86</f>
        <v>9.2760180995475117E-2</v>
      </c>
      <c r="G87" s="34">
        <f>'Rådata-K'!Q86</f>
        <v>0.20458952811893988</v>
      </c>
      <c r="H87" s="34">
        <f>'Rådata-K'!R86</f>
        <v>9.0371621621621712E-2</v>
      </c>
      <c r="I87" s="34">
        <f>'Rådata-K'!S86</f>
        <v>0.94174174174174174</v>
      </c>
      <c r="J87" s="22">
        <f>'Rådata-K'!K86</f>
        <v>334100</v>
      </c>
      <c r="K87" s="22">
        <f>Tabell2[[#This Row],[NIBR11]]</f>
        <v>10</v>
      </c>
      <c r="L87" s="32">
        <f>IF(Tabell2[[#This Row],[ReisetidOslo]]&lt;=C$434,C$434,IF(Tabell2[[#This Row],[ReisetidOslo]]&gt;=C$435,C$435,Tabell2[[#This Row],[ReisetidOslo]]))</f>
        <v>122.833333333</v>
      </c>
      <c r="M87" s="32">
        <f>IF(Tabell2[[#This Row],[Beftettotal]]&lt;=D$434,D$434,IF(Tabell2[[#This Row],[Beftettotal]]&gt;=D$435,D$435,Tabell2[[#This Row],[Beftettotal]]))</f>
        <v>2.7898001875495924</v>
      </c>
      <c r="N87" s="34">
        <f>IF(Tabell2[[#This Row],[Befvekst10]]&lt;=E$434,E$434,IF(Tabell2[[#This Row],[Befvekst10]]&gt;=E$435,E$435,Tabell2[[#This Row],[Befvekst10]]))</f>
        <v>-5.2373660030627822E-2</v>
      </c>
      <c r="O87" s="34">
        <f>IF(Tabell2[[#This Row],[Kvinneandel]]&lt;=F$434,F$434,IF(Tabell2[[#This Row],[Kvinneandel]]&gt;=F$435,F$435,Tabell2[[#This Row],[Kvinneandel]]))</f>
        <v>9.2760180995475117E-2</v>
      </c>
      <c r="P87" s="34">
        <f>IF(Tabell2[[#This Row],[Eldreandel]]&lt;=G$434,G$434,IF(Tabell2[[#This Row],[Eldreandel]]&gt;=G$435,G$435,Tabell2[[#This Row],[Eldreandel]]))</f>
        <v>0.20458952811893988</v>
      </c>
      <c r="Q87" s="34">
        <f>IF(Tabell2[[#This Row],[Sysselsettingsvekst10]]&lt;=H$434,H$434,IF(Tabell2[[#This Row],[Sysselsettingsvekst10]]&gt;=H$435,H$435,Tabell2[[#This Row],[Sysselsettingsvekst10]]))</f>
        <v>9.0371621621621712E-2</v>
      </c>
      <c r="R87" s="34">
        <f>IF(Tabell2[[#This Row],[Yrkesaktivandel]]&lt;=I$434,I$434,IF(Tabell2[[#This Row],[Yrkesaktivandel]]&gt;=I$435,I$435,Tabell2[[#This Row],[Yrkesaktivandel]]))</f>
        <v>0.94174174174174174</v>
      </c>
      <c r="S87" s="22">
        <f>IF(Tabell2[[#This Row],[Inntekt]]&lt;=J$434,J$434,IF(Tabell2[[#This Row],[Inntekt]]&gt;=J$435,J$435,Tabell2[[#This Row],[Inntekt]]))</f>
        <v>334100</v>
      </c>
      <c r="T87" s="22">
        <f>IF(Tabell2[[#This Row],[NIBR11-T]]&lt;=K$437,100,IF(Tabell2[[#This Row],[NIBR11-T]]&gt;=K$436,0,100*(K$436-Tabell2[[#This Row],[NIBR11-T]])/K$439))</f>
        <v>10</v>
      </c>
      <c r="U87" s="7">
        <f>IF(Tabell2[[#This Row],[ReisetidOslo-T]]&lt;=L$437,100,IF(Tabell2[[#This Row],[ReisetidOslo-T]]&gt;=L$436,0,100*(L$436-Tabell2[[#This Row],[ReisetidOslo-T]])/L$439))</f>
        <v>69.158318098869714</v>
      </c>
      <c r="V87" s="7">
        <f>100-(M$436-Tabell2[[#This Row],[Beftettotal-T]])*100/M$439</f>
        <v>1.1294350473597348</v>
      </c>
      <c r="W87" s="7">
        <f>100-(N$436-Tabell2[[#This Row],[Befvekst10-T]])*100/N$439</f>
        <v>9.5918078488218299</v>
      </c>
      <c r="X87" s="7">
        <f>100-(O$436-Tabell2[[#This Row],[Kvinneandel-T]])*100/O$439</f>
        <v>5.998390280073906</v>
      </c>
      <c r="Y87" s="7">
        <f>(P$436-Tabell2[[#This Row],[Eldreandel-T]])*100/P$439</f>
        <v>10.733328445711555</v>
      </c>
      <c r="Z87" s="7">
        <f>100-(Q$436-Tabell2[[#This Row],[Sysselsettingsvekst10-T]])*100/Q$439</f>
        <v>47.637816582161598</v>
      </c>
      <c r="AA87" s="7">
        <f>100-(R$436-Tabell2[[#This Row],[Yrkesaktivandel-T]])*100/R$439</f>
        <v>84.398335709447053</v>
      </c>
      <c r="AB87" s="7">
        <f>100-(S$436-Tabell2[[#This Row],[Inntekt-T]])*100/S$439</f>
        <v>2.8558161133039306</v>
      </c>
      <c r="AC87" s="55">
        <f>Tabell2[[#This Row],[NIBR11-I]]*Vekter!$B$3</f>
        <v>2</v>
      </c>
      <c r="AD87" s="55">
        <f>Tabell2[[#This Row],[ReisetidOslo-I]]*Vekter!$C$3</f>
        <v>6.9158318098869715</v>
      </c>
      <c r="AE87" s="55">
        <f>Tabell2[[#This Row],[Beftettotal-I]]*Vekter!$D$3</f>
        <v>0.11294350473597348</v>
      </c>
      <c r="AF87" s="55">
        <f>Tabell2[[#This Row],[Befvekst10-I]]*Vekter!$E$3</f>
        <v>1.9183615697643661</v>
      </c>
      <c r="AG87" s="55">
        <f>Tabell2[[#This Row],[Kvinneandel-I]]*Vekter!$F$3</f>
        <v>0.29991951400369532</v>
      </c>
      <c r="AH87" s="55">
        <f>Tabell2[[#This Row],[Eldreandel-I]]*Vekter!$G$3</f>
        <v>0.53666642228557782</v>
      </c>
      <c r="AI87" s="55">
        <f>Tabell2[[#This Row],[Sysselsettingsvekst10-I]]*Vekter!$H$3</f>
        <v>4.7637816582161596</v>
      </c>
      <c r="AJ87" s="55">
        <f>Tabell2[[#This Row],[Yrkesaktivandel-I]]*Vekter!$J$3</f>
        <v>8.439833570944705</v>
      </c>
      <c r="AK87" s="55">
        <f>Tabell2[[#This Row],[Inntekt-I]]*Vekter!$L$3</f>
        <v>0.28558161133039306</v>
      </c>
      <c r="AL87" s="56">
        <f>SUM(Tabell2[[#This Row],[NIBR11-v]:[Inntekt-v]])</f>
        <v>25.27291966116784</v>
      </c>
    </row>
    <row r="88" spans="1:38" x14ac:dyDescent="0.25">
      <c r="A88" s="2" t="s">
        <v>85</v>
      </c>
      <c r="B88">
        <f>'Rådata-K'!M87</f>
        <v>5</v>
      </c>
      <c r="C88" s="7">
        <f>'Rådata-K'!L87</f>
        <v>131.26666666700001</v>
      </c>
      <c r="D88" s="34">
        <f>'Rådata-K'!N87</f>
        <v>3.0534683654579116</v>
      </c>
      <c r="E88" s="34">
        <f>'Rådata-K'!O87</f>
        <v>3.5790980672869566E-3</v>
      </c>
      <c r="F88" s="34">
        <f>'Rådata-K'!P87</f>
        <v>8.8445078459343796E-2</v>
      </c>
      <c r="G88" s="34">
        <f>'Rådata-K'!Q87</f>
        <v>0.21469329529243938</v>
      </c>
      <c r="H88" s="34">
        <f>'Rådata-K'!R87</f>
        <v>-0.1169284467713787</v>
      </c>
      <c r="I88" s="34">
        <f>'Rådata-K'!S87</f>
        <v>0.83566878980891723</v>
      </c>
      <c r="J88" s="22">
        <f>'Rådata-K'!K87</f>
        <v>286000</v>
      </c>
      <c r="K88" s="22">
        <f>Tabell2[[#This Row],[NIBR11]]</f>
        <v>5</v>
      </c>
      <c r="L88" s="32">
        <f>IF(Tabell2[[#This Row],[ReisetidOslo]]&lt;=C$434,C$434,IF(Tabell2[[#This Row],[ReisetidOslo]]&gt;=C$435,C$435,Tabell2[[#This Row],[ReisetidOslo]]))</f>
        <v>131.26666666700001</v>
      </c>
      <c r="M88" s="32">
        <f>IF(Tabell2[[#This Row],[Beftettotal]]&lt;=D$434,D$434,IF(Tabell2[[#This Row],[Beftettotal]]&gt;=D$435,D$435,Tabell2[[#This Row],[Beftettotal]]))</f>
        <v>3.0534683654579116</v>
      </c>
      <c r="N88" s="34">
        <f>IF(Tabell2[[#This Row],[Befvekst10]]&lt;=E$434,E$434,IF(Tabell2[[#This Row],[Befvekst10]]&gt;=E$435,E$435,Tabell2[[#This Row],[Befvekst10]]))</f>
        <v>3.5790980672869566E-3</v>
      </c>
      <c r="O88" s="34">
        <f>IF(Tabell2[[#This Row],[Kvinneandel]]&lt;=F$434,F$434,IF(Tabell2[[#This Row],[Kvinneandel]]&gt;=F$435,F$435,Tabell2[[#This Row],[Kvinneandel]]))</f>
        <v>9.0490197137593403E-2</v>
      </c>
      <c r="P88" s="34">
        <f>IF(Tabell2[[#This Row],[Eldreandel]]&lt;=G$434,G$434,IF(Tabell2[[#This Row],[Eldreandel]]&gt;=G$435,G$435,Tabell2[[#This Row],[Eldreandel]]))</f>
        <v>0.21438492803547596</v>
      </c>
      <c r="Q88" s="34">
        <f>IF(Tabell2[[#This Row],[Sysselsettingsvekst10]]&lt;=H$434,H$434,IF(Tabell2[[#This Row],[Sysselsettingsvekst10]]&gt;=H$435,H$435,Tabell2[[#This Row],[Sysselsettingsvekst10]]))</f>
        <v>-6.9733479337269061E-2</v>
      </c>
      <c r="R88" s="34">
        <f>IF(Tabell2[[#This Row],[Yrkesaktivandel]]&lt;=I$434,I$434,IF(Tabell2[[#This Row],[Yrkesaktivandel]]&gt;=I$435,I$435,Tabell2[[#This Row],[Yrkesaktivandel]]))</f>
        <v>0.83566878980891723</v>
      </c>
      <c r="S88" s="22">
        <f>IF(Tabell2[[#This Row],[Inntekt]]&lt;=J$434,J$434,IF(Tabell2[[#This Row],[Inntekt]]&gt;=J$435,J$435,Tabell2[[#This Row],[Inntekt]]))</f>
        <v>331640</v>
      </c>
      <c r="T88" s="22">
        <f>IF(Tabell2[[#This Row],[NIBR11-T]]&lt;=K$437,100,IF(Tabell2[[#This Row],[NIBR11-T]]&gt;=K$436,0,100*(K$436-Tabell2[[#This Row],[NIBR11-T]])/K$439))</f>
        <v>60</v>
      </c>
      <c r="U88" s="7">
        <f>IF(Tabell2[[#This Row],[ReisetidOslo-T]]&lt;=L$437,100,IF(Tabell2[[#This Row],[ReisetidOslo-T]]&gt;=L$436,0,100*(L$436-Tabell2[[#This Row],[ReisetidOslo-T]])/L$439))</f>
        <v>65.458135283221083</v>
      </c>
      <c r="V88" s="7">
        <f>100-(M$436-Tabell2[[#This Row],[Beftettotal-T]])*100/M$439</f>
        <v>1.33340104531257</v>
      </c>
      <c r="W88" s="7">
        <f>100-(N$436-Tabell2[[#This Row],[Befvekst10-T]])*100/N$439</f>
        <v>32.120433567924735</v>
      </c>
      <c r="X88" s="7">
        <f>100-(O$436-Tabell2[[#This Row],[Kvinneandel-T]])*100/O$439</f>
        <v>0</v>
      </c>
      <c r="Y88" s="7">
        <f>(P$436-Tabell2[[#This Row],[Eldreandel-T]])*100/P$439</f>
        <v>0</v>
      </c>
      <c r="Z88" s="7">
        <f>100-(Q$436-Tabell2[[#This Row],[Sysselsettingsvekst10-T]])*100/Q$439</f>
        <v>0</v>
      </c>
      <c r="AA88" s="7">
        <f>100-(R$436-Tabell2[[#This Row],[Yrkesaktivandel-T]])*100/R$439</f>
        <v>2.8397182057840951</v>
      </c>
      <c r="AB88" s="7">
        <f>100-(S$436-Tabell2[[#This Row],[Inntekt-T]])*100/S$439</f>
        <v>0</v>
      </c>
      <c r="AC88" s="55">
        <f>Tabell2[[#This Row],[NIBR11-I]]*Vekter!$B$3</f>
        <v>12</v>
      </c>
      <c r="AD88" s="55">
        <f>Tabell2[[#This Row],[ReisetidOslo-I]]*Vekter!$C$3</f>
        <v>6.5458135283221086</v>
      </c>
      <c r="AE88" s="55">
        <f>Tabell2[[#This Row],[Beftettotal-I]]*Vekter!$D$3</f>
        <v>0.133340104531257</v>
      </c>
      <c r="AF88" s="55">
        <f>Tabell2[[#This Row],[Befvekst10-I]]*Vekter!$E$3</f>
        <v>6.4240867135849475</v>
      </c>
      <c r="AG88" s="55">
        <f>Tabell2[[#This Row],[Kvinneandel-I]]*Vekter!$F$3</f>
        <v>0</v>
      </c>
      <c r="AH88" s="55">
        <f>Tabell2[[#This Row],[Eldreandel-I]]*Vekter!$G$3</f>
        <v>0</v>
      </c>
      <c r="AI88" s="55">
        <f>Tabell2[[#This Row],[Sysselsettingsvekst10-I]]*Vekter!$H$3</f>
        <v>0</v>
      </c>
      <c r="AJ88" s="55">
        <f>Tabell2[[#This Row],[Yrkesaktivandel-I]]*Vekter!$J$3</f>
        <v>0.28397182057840953</v>
      </c>
      <c r="AK88" s="55">
        <f>Tabell2[[#This Row],[Inntekt-I]]*Vekter!$L$3</f>
        <v>0</v>
      </c>
      <c r="AL88" s="56">
        <f>SUM(Tabell2[[#This Row],[NIBR11-v]:[Inntekt-v]])</f>
        <v>25.38721216701672</v>
      </c>
    </row>
    <row r="89" spans="1:38" x14ac:dyDescent="0.25">
      <c r="A89" s="2" t="s">
        <v>86</v>
      </c>
      <c r="B89">
        <f>'Rådata-K'!M88</f>
        <v>10</v>
      </c>
      <c r="C89" s="7">
        <f>'Rådata-K'!L88</f>
        <v>138.65</v>
      </c>
      <c r="D89" s="34">
        <f>'Rådata-K'!N88</f>
        <v>7.1326927956052204</v>
      </c>
      <c r="E89" s="34">
        <f>'Rådata-K'!O88</f>
        <v>3.725551071095845E-3</v>
      </c>
      <c r="F89" s="34">
        <f>'Rådata-K'!P88</f>
        <v>0.112743581812558</v>
      </c>
      <c r="G89" s="34">
        <f>'Rådata-K'!Q88</f>
        <v>0.17367769873182803</v>
      </c>
      <c r="H89" s="34">
        <f>'Rådata-K'!R88</f>
        <v>1.6901408450704203E-2</v>
      </c>
      <c r="I89" s="34">
        <f>'Rådata-K'!S88</f>
        <v>0.93050711027636168</v>
      </c>
      <c r="J89" s="22">
        <f>'Rådata-K'!K88</f>
        <v>350800</v>
      </c>
      <c r="K89" s="22">
        <f>Tabell2[[#This Row],[NIBR11]]</f>
        <v>10</v>
      </c>
      <c r="L89" s="32">
        <f>IF(Tabell2[[#This Row],[ReisetidOslo]]&lt;=C$434,C$434,IF(Tabell2[[#This Row],[ReisetidOslo]]&gt;=C$435,C$435,Tabell2[[#This Row],[ReisetidOslo]]))</f>
        <v>138.65</v>
      </c>
      <c r="M89" s="32">
        <f>IF(Tabell2[[#This Row],[Beftettotal]]&lt;=D$434,D$434,IF(Tabell2[[#This Row],[Beftettotal]]&gt;=D$435,D$435,Tabell2[[#This Row],[Beftettotal]]))</f>
        <v>7.1326927956052204</v>
      </c>
      <c r="N89" s="34">
        <f>IF(Tabell2[[#This Row],[Befvekst10]]&lt;=E$434,E$434,IF(Tabell2[[#This Row],[Befvekst10]]&gt;=E$435,E$435,Tabell2[[#This Row],[Befvekst10]]))</f>
        <v>3.725551071095845E-3</v>
      </c>
      <c r="O89" s="34">
        <f>IF(Tabell2[[#This Row],[Kvinneandel]]&lt;=F$434,F$434,IF(Tabell2[[#This Row],[Kvinneandel]]&gt;=F$435,F$435,Tabell2[[#This Row],[Kvinneandel]]))</f>
        <v>0.112743581812558</v>
      </c>
      <c r="P89" s="34">
        <f>IF(Tabell2[[#This Row],[Eldreandel]]&lt;=G$434,G$434,IF(Tabell2[[#This Row],[Eldreandel]]&gt;=G$435,G$435,Tabell2[[#This Row],[Eldreandel]]))</f>
        <v>0.17367769873182803</v>
      </c>
      <c r="Q89" s="34">
        <f>IF(Tabell2[[#This Row],[Sysselsettingsvekst10]]&lt;=H$434,H$434,IF(Tabell2[[#This Row],[Sysselsettingsvekst10]]&gt;=H$435,H$435,Tabell2[[#This Row],[Sysselsettingsvekst10]]))</f>
        <v>1.6901408450704203E-2</v>
      </c>
      <c r="R89" s="34">
        <f>IF(Tabell2[[#This Row],[Yrkesaktivandel]]&lt;=I$434,I$434,IF(Tabell2[[#This Row],[Yrkesaktivandel]]&gt;=I$435,I$435,Tabell2[[#This Row],[Yrkesaktivandel]]))</f>
        <v>0.93050711027636168</v>
      </c>
      <c r="S89" s="22">
        <f>IF(Tabell2[[#This Row],[Inntekt]]&lt;=J$434,J$434,IF(Tabell2[[#This Row],[Inntekt]]&gt;=J$435,J$435,Tabell2[[#This Row],[Inntekt]]))</f>
        <v>350800</v>
      </c>
      <c r="T89" s="22">
        <f>IF(Tabell2[[#This Row],[NIBR11-T]]&lt;=K$437,100,IF(Tabell2[[#This Row],[NIBR11-T]]&gt;=K$436,0,100*(K$436-Tabell2[[#This Row],[NIBR11-T]])/K$439))</f>
        <v>10</v>
      </c>
      <c r="U89" s="7">
        <f>IF(Tabell2[[#This Row],[ReisetidOslo-T]]&lt;=L$437,100,IF(Tabell2[[#This Row],[ReisetidOslo-T]]&gt;=L$436,0,100*(L$436-Tabell2[[#This Row],[ReisetidOslo-T]])/L$439))</f>
        <v>62.218647166365834</v>
      </c>
      <c r="V89" s="7">
        <f>100-(M$436-Tabell2[[#This Row],[Beftettotal-T]])*100/M$439</f>
        <v>4.4889698680995735</v>
      </c>
      <c r="W89" s="7">
        <f>100-(N$436-Tabell2[[#This Row],[Befvekst10-T]])*100/N$439</f>
        <v>32.179400900732077</v>
      </c>
      <c r="X89" s="7">
        <f>100-(O$436-Tabell2[[#This Row],[Kvinneandel-T]])*100/O$439</f>
        <v>58.804156632909802</v>
      </c>
      <c r="Y89" s="7">
        <f>(P$436-Tabell2[[#This Row],[Eldreandel-T]])*100/P$439</f>
        <v>44.605025415384524</v>
      </c>
      <c r="Z89" s="7">
        <f>100-(Q$436-Tabell2[[#This Row],[Sysselsettingsvekst10-T]])*100/Q$439</f>
        <v>25.77742288872679</v>
      </c>
      <c r="AA89" s="7">
        <f>100-(R$436-Tabell2[[#This Row],[Yrkesaktivandel-T]])*100/R$439</f>
        <v>75.760120275791309</v>
      </c>
      <c r="AB89" s="7">
        <f>100-(S$436-Tabell2[[#This Row],[Inntekt-T]])*100/S$439</f>
        <v>22.242860459716738</v>
      </c>
      <c r="AC89" s="55">
        <f>Tabell2[[#This Row],[NIBR11-I]]*Vekter!$B$3</f>
        <v>2</v>
      </c>
      <c r="AD89" s="55">
        <f>Tabell2[[#This Row],[ReisetidOslo-I]]*Vekter!$C$3</f>
        <v>6.2218647166365839</v>
      </c>
      <c r="AE89" s="55">
        <f>Tabell2[[#This Row],[Beftettotal-I]]*Vekter!$D$3</f>
        <v>0.44889698680995738</v>
      </c>
      <c r="AF89" s="55">
        <f>Tabell2[[#This Row],[Befvekst10-I]]*Vekter!$E$3</f>
        <v>6.4358801801464161</v>
      </c>
      <c r="AG89" s="55">
        <f>Tabell2[[#This Row],[Kvinneandel-I]]*Vekter!$F$3</f>
        <v>2.9402078316454903</v>
      </c>
      <c r="AH89" s="55">
        <f>Tabell2[[#This Row],[Eldreandel-I]]*Vekter!$G$3</f>
        <v>2.2302512707692261</v>
      </c>
      <c r="AI89" s="55">
        <f>Tabell2[[#This Row],[Sysselsettingsvekst10-I]]*Vekter!$H$3</f>
        <v>2.5777422888726793</v>
      </c>
      <c r="AJ89" s="55">
        <f>Tabell2[[#This Row],[Yrkesaktivandel-I]]*Vekter!$J$3</f>
        <v>7.5760120275791314</v>
      </c>
      <c r="AK89" s="55">
        <f>Tabell2[[#This Row],[Inntekt-I]]*Vekter!$L$3</f>
        <v>2.2242860459716738</v>
      </c>
      <c r="AL89" s="56">
        <f>SUM(Tabell2[[#This Row],[NIBR11-v]:[Inntekt-v]])</f>
        <v>32.655141348431158</v>
      </c>
    </row>
    <row r="90" spans="1:38" x14ac:dyDescent="0.25">
      <c r="A90" s="2" t="s">
        <v>87</v>
      </c>
      <c r="B90">
        <f>'Rådata-K'!M89</f>
        <v>10</v>
      </c>
      <c r="C90" s="7">
        <f>'Rådata-K'!L89</f>
        <v>158.05000000000001</v>
      </c>
      <c r="D90" s="34">
        <f>'Rådata-K'!N89</f>
        <v>4.7058823529411766</v>
      </c>
      <c r="E90" s="34">
        <f>'Rådata-K'!O89</f>
        <v>-2.8953229398663738E-2</v>
      </c>
      <c r="F90" s="34">
        <f>'Rådata-K'!P89</f>
        <v>9.4954128440366978E-2</v>
      </c>
      <c r="G90" s="34">
        <f>'Rådata-K'!Q89</f>
        <v>0.18027522935779816</v>
      </c>
      <c r="H90" s="34">
        <f>'Rådata-K'!R89</f>
        <v>3.8379530916844429E-2</v>
      </c>
      <c r="I90" s="34">
        <f>'Rådata-K'!S89</f>
        <v>0.95775792038992691</v>
      </c>
      <c r="J90" s="22">
        <f>'Rådata-K'!K89</f>
        <v>344000</v>
      </c>
      <c r="K90" s="22">
        <f>Tabell2[[#This Row],[NIBR11]]</f>
        <v>10</v>
      </c>
      <c r="L90" s="32">
        <f>IF(Tabell2[[#This Row],[ReisetidOslo]]&lt;=C$434,C$434,IF(Tabell2[[#This Row],[ReisetidOslo]]&gt;=C$435,C$435,Tabell2[[#This Row],[ReisetidOslo]]))</f>
        <v>158.05000000000001</v>
      </c>
      <c r="M90" s="32">
        <f>IF(Tabell2[[#This Row],[Beftettotal]]&lt;=D$434,D$434,IF(Tabell2[[#This Row],[Beftettotal]]&gt;=D$435,D$435,Tabell2[[#This Row],[Beftettotal]]))</f>
        <v>4.7058823529411766</v>
      </c>
      <c r="N90" s="34">
        <f>IF(Tabell2[[#This Row],[Befvekst10]]&lt;=E$434,E$434,IF(Tabell2[[#This Row],[Befvekst10]]&gt;=E$435,E$435,Tabell2[[#This Row],[Befvekst10]]))</f>
        <v>-2.8953229398663738E-2</v>
      </c>
      <c r="O90" s="34">
        <f>IF(Tabell2[[#This Row],[Kvinneandel]]&lt;=F$434,F$434,IF(Tabell2[[#This Row],[Kvinneandel]]&gt;=F$435,F$435,Tabell2[[#This Row],[Kvinneandel]]))</f>
        <v>9.4954128440366978E-2</v>
      </c>
      <c r="P90" s="34">
        <f>IF(Tabell2[[#This Row],[Eldreandel]]&lt;=G$434,G$434,IF(Tabell2[[#This Row],[Eldreandel]]&gt;=G$435,G$435,Tabell2[[#This Row],[Eldreandel]]))</f>
        <v>0.18027522935779816</v>
      </c>
      <c r="Q90" s="34">
        <f>IF(Tabell2[[#This Row],[Sysselsettingsvekst10]]&lt;=H$434,H$434,IF(Tabell2[[#This Row],[Sysselsettingsvekst10]]&gt;=H$435,H$435,Tabell2[[#This Row],[Sysselsettingsvekst10]]))</f>
        <v>3.8379530916844429E-2</v>
      </c>
      <c r="R90" s="34">
        <f>IF(Tabell2[[#This Row],[Yrkesaktivandel]]&lt;=I$434,I$434,IF(Tabell2[[#This Row],[Yrkesaktivandel]]&gt;=I$435,I$435,Tabell2[[#This Row],[Yrkesaktivandel]]))</f>
        <v>0.95775792038992691</v>
      </c>
      <c r="S90" s="22">
        <f>IF(Tabell2[[#This Row],[Inntekt]]&lt;=J$434,J$434,IF(Tabell2[[#This Row],[Inntekt]]&gt;=J$435,J$435,Tabell2[[#This Row],[Inntekt]]))</f>
        <v>344000</v>
      </c>
      <c r="T90" s="22">
        <f>IF(Tabell2[[#This Row],[NIBR11-T]]&lt;=K$437,100,IF(Tabell2[[#This Row],[NIBR11-T]]&gt;=K$436,0,100*(K$436-Tabell2[[#This Row],[NIBR11-T]])/K$439))</f>
        <v>10</v>
      </c>
      <c r="U90" s="7">
        <f>IF(Tabell2[[#This Row],[ReisetidOslo-T]]&lt;=L$437,100,IF(Tabell2[[#This Row],[ReisetidOslo-T]]&gt;=L$436,0,100*(L$436-Tabell2[[#This Row],[ReisetidOslo-T]])/L$439))</f>
        <v>53.706764168194859</v>
      </c>
      <c r="V90" s="7">
        <f>100-(M$436-Tabell2[[#This Row],[Beftettotal-T]])*100/M$439</f>
        <v>2.6116602219107676</v>
      </c>
      <c r="W90" s="7">
        <f>100-(N$436-Tabell2[[#This Row],[Befvekst10-T]])*100/N$439</f>
        <v>19.021729336595556</v>
      </c>
      <c r="X90" s="7">
        <f>100-(O$436-Tabell2[[#This Row],[Kvinneandel-T]])*100/O$439</f>
        <v>11.795855747829705</v>
      </c>
      <c r="Y90" s="7">
        <f>(P$436-Tabell2[[#This Row],[Eldreandel-T]])*100/P$439</f>
        <v>37.375768443483381</v>
      </c>
      <c r="Z90" s="7">
        <f>100-(Q$436-Tabell2[[#This Row],[Sysselsettingsvekst10-T]])*100/Q$439</f>
        <v>32.168042877991866</v>
      </c>
      <c r="AA90" s="7">
        <f>100-(R$436-Tabell2[[#This Row],[Yrkesaktivandel-T]])*100/R$439</f>
        <v>96.713043318083365</v>
      </c>
      <c r="AB90" s="7">
        <f>100-(S$436-Tabell2[[#This Row],[Inntekt-T]])*100/S$439</f>
        <v>14.348734618063617</v>
      </c>
      <c r="AC90" s="55">
        <f>Tabell2[[#This Row],[NIBR11-I]]*Vekter!$B$3</f>
        <v>2</v>
      </c>
      <c r="AD90" s="55">
        <f>Tabell2[[#This Row],[ReisetidOslo-I]]*Vekter!$C$3</f>
        <v>5.370676416819486</v>
      </c>
      <c r="AE90" s="55">
        <f>Tabell2[[#This Row],[Beftettotal-I]]*Vekter!$D$3</f>
        <v>0.26116602219107676</v>
      </c>
      <c r="AF90" s="55">
        <f>Tabell2[[#This Row],[Befvekst10-I]]*Vekter!$E$3</f>
        <v>3.8043458673191113</v>
      </c>
      <c r="AG90" s="55">
        <f>Tabell2[[#This Row],[Kvinneandel-I]]*Vekter!$F$3</f>
        <v>0.58979278739148533</v>
      </c>
      <c r="AH90" s="55">
        <f>Tabell2[[#This Row],[Eldreandel-I]]*Vekter!$G$3</f>
        <v>1.8687884221741691</v>
      </c>
      <c r="AI90" s="55">
        <f>Tabell2[[#This Row],[Sysselsettingsvekst10-I]]*Vekter!$H$3</f>
        <v>3.2168042877991869</v>
      </c>
      <c r="AJ90" s="55">
        <f>Tabell2[[#This Row],[Yrkesaktivandel-I]]*Vekter!$J$3</f>
        <v>9.6713043318083365</v>
      </c>
      <c r="AK90" s="55">
        <f>Tabell2[[#This Row],[Inntekt-I]]*Vekter!$L$3</f>
        <v>1.4348734618063617</v>
      </c>
      <c r="AL90" s="56">
        <f>SUM(Tabell2[[#This Row],[NIBR11-v]:[Inntekt-v]])</f>
        <v>28.217751597309213</v>
      </c>
    </row>
    <row r="91" spans="1:38" x14ac:dyDescent="0.25">
      <c r="A91" s="2" t="s">
        <v>88</v>
      </c>
      <c r="B91">
        <f>'Rådata-K'!M90</f>
        <v>10</v>
      </c>
      <c r="C91" s="7">
        <f>'Rådata-K'!L90</f>
        <v>153.5</v>
      </c>
      <c r="D91" s="34">
        <f>'Rådata-K'!N90</f>
        <v>3.321531289260832</v>
      </c>
      <c r="E91" s="34">
        <f>'Rådata-K'!O90</f>
        <v>2.7296082209377071E-2</v>
      </c>
      <c r="F91" s="34">
        <f>'Rådata-K'!P90</f>
        <v>0.11253516723976242</v>
      </c>
      <c r="G91" s="34">
        <f>'Rådata-K'!Q90</f>
        <v>0.18005626758361989</v>
      </c>
      <c r="H91" s="34">
        <f>'Rådata-K'!R90</f>
        <v>-5.0651230101302902E-3</v>
      </c>
      <c r="I91" s="34">
        <f>'Rådata-K'!S90</f>
        <v>0.98372219207813349</v>
      </c>
      <c r="J91" s="22">
        <f>'Rådata-K'!K90</f>
        <v>360400</v>
      </c>
      <c r="K91" s="22">
        <f>Tabell2[[#This Row],[NIBR11]]</f>
        <v>10</v>
      </c>
      <c r="L91" s="32">
        <f>IF(Tabell2[[#This Row],[ReisetidOslo]]&lt;=C$434,C$434,IF(Tabell2[[#This Row],[ReisetidOslo]]&gt;=C$435,C$435,Tabell2[[#This Row],[ReisetidOslo]]))</f>
        <v>153.5</v>
      </c>
      <c r="M91" s="32">
        <f>IF(Tabell2[[#This Row],[Beftettotal]]&lt;=D$434,D$434,IF(Tabell2[[#This Row],[Beftettotal]]&gt;=D$435,D$435,Tabell2[[#This Row],[Beftettotal]]))</f>
        <v>3.321531289260832</v>
      </c>
      <c r="N91" s="34">
        <f>IF(Tabell2[[#This Row],[Befvekst10]]&lt;=E$434,E$434,IF(Tabell2[[#This Row],[Befvekst10]]&gt;=E$435,E$435,Tabell2[[#This Row],[Befvekst10]]))</f>
        <v>2.7296082209377071E-2</v>
      </c>
      <c r="O91" s="34">
        <f>IF(Tabell2[[#This Row],[Kvinneandel]]&lt;=F$434,F$434,IF(Tabell2[[#This Row],[Kvinneandel]]&gt;=F$435,F$435,Tabell2[[#This Row],[Kvinneandel]]))</f>
        <v>0.11253516723976242</v>
      </c>
      <c r="P91" s="34">
        <f>IF(Tabell2[[#This Row],[Eldreandel]]&lt;=G$434,G$434,IF(Tabell2[[#This Row],[Eldreandel]]&gt;=G$435,G$435,Tabell2[[#This Row],[Eldreandel]]))</f>
        <v>0.18005626758361989</v>
      </c>
      <c r="Q91" s="34">
        <f>IF(Tabell2[[#This Row],[Sysselsettingsvekst10]]&lt;=H$434,H$434,IF(Tabell2[[#This Row],[Sysselsettingsvekst10]]&gt;=H$435,H$435,Tabell2[[#This Row],[Sysselsettingsvekst10]]))</f>
        <v>-5.0651230101302902E-3</v>
      </c>
      <c r="R91" s="34">
        <f>IF(Tabell2[[#This Row],[Yrkesaktivandel]]&lt;=I$434,I$434,IF(Tabell2[[#This Row],[Yrkesaktivandel]]&gt;=I$435,I$435,Tabell2[[#This Row],[Yrkesaktivandel]]))</f>
        <v>0.96203284815106216</v>
      </c>
      <c r="S91" s="22">
        <f>IF(Tabell2[[#This Row],[Inntekt]]&lt;=J$434,J$434,IF(Tabell2[[#This Row],[Inntekt]]&gt;=J$435,J$435,Tabell2[[#This Row],[Inntekt]]))</f>
        <v>360400</v>
      </c>
      <c r="T91" s="22">
        <f>IF(Tabell2[[#This Row],[NIBR11-T]]&lt;=K$437,100,IF(Tabell2[[#This Row],[NIBR11-T]]&gt;=K$436,0,100*(K$436-Tabell2[[#This Row],[NIBR11-T]])/K$439))</f>
        <v>10</v>
      </c>
      <c r="U91" s="7">
        <f>IF(Tabell2[[#This Row],[ReisetidOslo-T]]&lt;=L$437,100,IF(Tabell2[[#This Row],[ReisetidOslo-T]]&gt;=L$436,0,100*(L$436-Tabell2[[#This Row],[ReisetidOslo-T]])/L$439))</f>
        <v>55.703107861064865</v>
      </c>
      <c r="V91" s="7">
        <f>100-(M$436-Tabell2[[#This Row],[Beftettotal-T]])*100/M$439</f>
        <v>1.5407666902734292</v>
      </c>
      <c r="W91" s="7">
        <f>100-(N$436-Tabell2[[#This Row],[Befvekst10-T]])*100/N$439</f>
        <v>41.669758339154548</v>
      </c>
      <c r="X91" s="7">
        <f>100-(O$436-Tabell2[[#This Row],[Kvinneandel-T]])*100/O$439</f>
        <v>58.253424986364372</v>
      </c>
      <c r="Y91" s="7">
        <f>(P$436-Tabell2[[#This Row],[Eldreandel-T]])*100/P$439</f>
        <v>37.615696231969437</v>
      </c>
      <c r="Z91" s="7">
        <f>100-(Q$436-Tabell2[[#This Row],[Sysselsettingsvekst10-T]])*100/Q$439</f>
        <v>19.241481245329652</v>
      </c>
      <c r="AA91" s="7">
        <f>100-(R$436-Tabell2[[#This Row],[Yrkesaktivandel-T]])*100/R$439</f>
        <v>100</v>
      </c>
      <c r="AB91" s="7">
        <f>100-(S$436-Tabell2[[#This Row],[Inntekt-T]])*100/S$439</f>
        <v>33.387508706756449</v>
      </c>
      <c r="AC91" s="55">
        <f>Tabell2[[#This Row],[NIBR11-I]]*Vekter!$B$3</f>
        <v>2</v>
      </c>
      <c r="AD91" s="55">
        <f>Tabell2[[#This Row],[ReisetidOslo-I]]*Vekter!$C$3</f>
        <v>5.5703107861064867</v>
      </c>
      <c r="AE91" s="55">
        <f>Tabell2[[#This Row],[Beftettotal-I]]*Vekter!$D$3</f>
        <v>0.15407666902734293</v>
      </c>
      <c r="AF91" s="55">
        <f>Tabell2[[#This Row],[Befvekst10-I]]*Vekter!$E$3</f>
        <v>8.3339516678309096</v>
      </c>
      <c r="AG91" s="55">
        <f>Tabell2[[#This Row],[Kvinneandel-I]]*Vekter!$F$3</f>
        <v>2.912671249318219</v>
      </c>
      <c r="AH91" s="55">
        <f>Tabell2[[#This Row],[Eldreandel-I]]*Vekter!$G$3</f>
        <v>1.880784811598472</v>
      </c>
      <c r="AI91" s="55">
        <f>Tabell2[[#This Row],[Sysselsettingsvekst10-I]]*Vekter!$H$3</f>
        <v>1.9241481245329652</v>
      </c>
      <c r="AJ91" s="55">
        <f>Tabell2[[#This Row],[Yrkesaktivandel-I]]*Vekter!$J$3</f>
        <v>10</v>
      </c>
      <c r="AK91" s="55">
        <f>Tabell2[[#This Row],[Inntekt-I]]*Vekter!$L$3</f>
        <v>3.338750870675645</v>
      </c>
      <c r="AL91" s="56">
        <f>SUM(Tabell2[[#This Row],[NIBR11-v]:[Inntekt-v]])</f>
        <v>36.114694179090044</v>
      </c>
    </row>
    <row r="92" spans="1:38" x14ac:dyDescent="0.25">
      <c r="A92" s="2" t="s">
        <v>89</v>
      </c>
      <c r="B92">
        <f>'Rådata-K'!M91</f>
        <v>10</v>
      </c>
      <c r="C92" s="7">
        <f>'Rådata-K'!L91</f>
        <v>181</v>
      </c>
      <c r="D92" s="34">
        <f>'Rådata-K'!N91</f>
        <v>1.0754259523730447</v>
      </c>
      <c r="E92" s="34">
        <f>'Rådata-K'!O91</f>
        <v>3.7197768133911957E-3</v>
      </c>
      <c r="F92" s="34">
        <f>'Rådata-K'!P91</f>
        <v>0.10747374922791847</v>
      </c>
      <c r="G92" s="34">
        <f>'Rådata-K'!Q91</f>
        <v>0.18653489808523779</v>
      </c>
      <c r="H92" s="34">
        <f>'Rådata-K'!R91</f>
        <v>8.5959885386819535E-2</v>
      </c>
      <c r="I92" s="34">
        <f>'Rådata-K'!S91</f>
        <v>0.90782422293676313</v>
      </c>
      <c r="J92" s="22">
        <f>'Rådata-K'!K91</f>
        <v>317500</v>
      </c>
      <c r="K92" s="22">
        <f>Tabell2[[#This Row],[NIBR11]]</f>
        <v>10</v>
      </c>
      <c r="L92" s="32">
        <f>IF(Tabell2[[#This Row],[ReisetidOslo]]&lt;=C$434,C$434,IF(Tabell2[[#This Row],[ReisetidOslo]]&gt;=C$435,C$435,Tabell2[[#This Row],[ReisetidOslo]]))</f>
        <v>181</v>
      </c>
      <c r="M92" s="32">
        <f>IF(Tabell2[[#This Row],[Beftettotal]]&lt;=D$434,D$434,IF(Tabell2[[#This Row],[Beftettotal]]&gt;=D$435,D$435,Tabell2[[#This Row],[Beftettotal]]))</f>
        <v>1.3297721240876861</v>
      </c>
      <c r="N92" s="34">
        <f>IF(Tabell2[[#This Row],[Befvekst10]]&lt;=E$434,E$434,IF(Tabell2[[#This Row],[Befvekst10]]&gt;=E$435,E$435,Tabell2[[#This Row],[Befvekst10]]))</f>
        <v>3.7197768133911957E-3</v>
      </c>
      <c r="O92" s="34">
        <f>IF(Tabell2[[#This Row],[Kvinneandel]]&lt;=F$434,F$434,IF(Tabell2[[#This Row],[Kvinneandel]]&gt;=F$435,F$435,Tabell2[[#This Row],[Kvinneandel]]))</f>
        <v>0.10747374922791847</v>
      </c>
      <c r="P92" s="34">
        <f>IF(Tabell2[[#This Row],[Eldreandel]]&lt;=G$434,G$434,IF(Tabell2[[#This Row],[Eldreandel]]&gt;=G$435,G$435,Tabell2[[#This Row],[Eldreandel]]))</f>
        <v>0.18653489808523779</v>
      </c>
      <c r="Q92" s="34">
        <f>IF(Tabell2[[#This Row],[Sysselsettingsvekst10]]&lt;=H$434,H$434,IF(Tabell2[[#This Row],[Sysselsettingsvekst10]]&gt;=H$435,H$435,Tabell2[[#This Row],[Sysselsettingsvekst10]]))</f>
        <v>8.5959885386819535E-2</v>
      </c>
      <c r="R92" s="34">
        <f>IF(Tabell2[[#This Row],[Yrkesaktivandel]]&lt;=I$434,I$434,IF(Tabell2[[#This Row],[Yrkesaktivandel]]&gt;=I$435,I$435,Tabell2[[#This Row],[Yrkesaktivandel]]))</f>
        <v>0.90782422293676313</v>
      </c>
      <c r="S92" s="22">
        <f>IF(Tabell2[[#This Row],[Inntekt]]&lt;=J$434,J$434,IF(Tabell2[[#This Row],[Inntekt]]&gt;=J$435,J$435,Tabell2[[#This Row],[Inntekt]]))</f>
        <v>331640</v>
      </c>
      <c r="T92" s="22">
        <f>IF(Tabell2[[#This Row],[NIBR11-T]]&lt;=K$437,100,IF(Tabell2[[#This Row],[NIBR11-T]]&gt;=K$436,0,100*(K$436-Tabell2[[#This Row],[NIBR11-T]])/K$439))</f>
        <v>10</v>
      </c>
      <c r="U92" s="7">
        <f>IF(Tabell2[[#This Row],[ReisetidOslo-T]]&lt;=L$437,100,IF(Tabell2[[#This Row],[ReisetidOslo-T]]&gt;=L$436,0,100*(L$436-Tabell2[[#This Row],[ReisetidOslo-T]])/L$439))</f>
        <v>43.637294332729724</v>
      </c>
      <c r="V92" s="7">
        <f>100-(M$436-Tabell2[[#This Row],[Beftettotal-T]])*100/M$439</f>
        <v>0</v>
      </c>
      <c r="W92" s="7">
        <f>100-(N$436-Tabell2[[#This Row],[Befvekst10-T]])*100/N$439</f>
        <v>32.177075973506774</v>
      </c>
      <c r="X92" s="7">
        <f>100-(O$436-Tabell2[[#This Row],[Kvinneandel-T]])*100/O$439</f>
        <v>44.878721681660167</v>
      </c>
      <c r="Y92" s="7">
        <f>(P$436-Tabell2[[#This Row],[Eldreandel-T]])*100/P$439</f>
        <v>30.516724301800391</v>
      </c>
      <c r="Z92" s="7">
        <f>100-(Q$436-Tabell2[[#This Row],[Sysselsettingsvekst10-T]])*100/Q$439</f>
        <v>46.325144591677386</v>
      </c>
      <c r="AA92" s="7">
        <f>100-(R$436-Tabell2[[#This Row],[Yrkesaktivandel-T]])*100/R$439</f>
        <v>58.319435363198473</v>
      </c>
      <c r="AB92" s="7">
        <f>100-(S$436-Tabell2[[#This Row],[Inntekt-T]])*100/S$439</f>
        <v>0</v>
      </c>
      <c r="AC92" s="55">
        <f>Tabell2[[#This Row],[NIBR11-I]]*Vekter!$B$3</f>
        <v>2</v>
      </c>
      <c r="AD92" s="55">
        <f>Tabell2[[#This Row],[ReisetidOslo-I]]*Vekter!$C$3</f>
        <v>4.3637294332729724</v>
      </c>
      <c r="AE92" s="55">
        <f>Tabell2[[#This Row],[Beftettotal-I]]*Vekter!$D$3</f>
        <v>0</v>
      </c>
      <c r="AF92" s="55">
        <f>Tabell2[[#This Row],[Befvekst10-I]]*Vekter!$E$3</f>
        <v>6.4354151947013554</v>
      </c>
      <c r="AG92" s="55">
        <f>Tabell2[[#This Row],[Kvinneandel-I]]*Vekter!$F$3</f>
        <v>2.2439360840830083</v>
      </c>
      <c r="AH92" s="55">
        <f>Tabell2[[#This Row],[Eldreandel-I]]*Vekter!$G$3</f>
        <v>1.5258362150900195</v>
      </c>
      <c r="AI92" s="55">
        <f>Tabell2[[#This Row],[Sysselsettingsvekst10-I]]*Vekter!$H$3</f>
        <v>4.632514459167739</v>
      </c>
      <c r="AJ92" s="55">
        <f>Tabell2[[#This Row],[Yrkesaktivandel-I]]*Vekter!$J$3</f>
        <v>5.831943536319848</v>
      </c>
      <c r="AK92" s="55">
        <f>Tabell2[[#This Row],[Inntekt-I]]*Vekter!$L$3</f>
        <v>0</v>
      </c>
      <c r="AL92" s="56">
        <f>SUM(Tabell2[[#This Row],[NIBR11-v]:[Inntekt-v]])</f>
        <v>27.033374922634941</v>
      </c>
    </row>
    <row r="93" spans="1:38" x14ac:dyDescent="0.25">
      <c r="A93" s="2" t="s">
        <v>90</v>
      </c>
      <c r="B93">
        <f>'Rådata-K'!M92</f>
        <v>2</v>
      </c>
      <c r="C93" s="7">
        <f>'Rådata-K'!L92</f>
        <v>30.4</v>
      </c>
      <c r="D93" s="34">
        <f>'Rådata-K'!N92</f>
        <v>489.13218013283705</v>
      </c>
      <c r="E93" s="34">
        <f>'Rådata-K'!O92</f>
        <v>0.1726744592986631</v>
      </c>
      <c r="F93" s="34">
        <f>'Rådata-K'!P92</f>
        <v>0.13578846842545064</v>
      </c>
      <c r="G93" s="34">
        <f>'Rådata-K'!Q92</f>
        <v>0.14739763638534081</v>
      </c>
      <c r="H93" s="34">
        <f>'Rådata-K'!R92</f>
        <v>0.14909488139825222</v>
      </c>
      <c r="I93" s="34">
        <f>'Rådata-K'!S92</f>
        <v>0.82520264184929448</v>
      </c>
      <c r="J93" s="22">
        <f>'Rådata-K'!K92</f>
        <v>400200</v>
      </c>
      <c r="K93" s="22">
        <f>Tabell2[[#This Row],[NIBR11]]</f>
        <v>2</v>
      </c>
      <c r="L93" s="32">
        <f>IF(Tabell2[[#This Row],[ReisetidOslo]]&lt;=C$434,C$434,IF(Tabell2[[#This Row],[ReisetidOslo]]&gt;=C$435,C$435,Tabell2[[#This Row],[ReisetidOslo]]))</f>
        <v>52.54</v>
      </c>
      <c r="M93" s="32">
        <f>IF(Tabell2[[#This Row],[Beftettotal]]&lt;=D$434,D$434,IF(Tabell2[[#This Row],[Beftettotal]]&gt;=D$435,D$435,Tabell2[[#This Row],[Beftettotal]]))</f>
        <v>130.60042534801397</v>
      </c>
      <c r="N93" s="34">
        <f>IF(Tabell2[[#This Row],[Befvekst10]]&lt;=E$434,E$434,IF(Tabell2[[#This Row],[Befvekst10]]&gt;=E$435,E$435,Tabell2[[#This Row],[Befvekst10]]))</f>
        <v>0.17216678769030419</v>
      </c>
      <c r="O93" s="34">
        <f>IF(Tabell2[[#This Row],[Kvinneandel]]&lt;=F$434,F$434,IF(Tabell2[[#This Row],[Kvinneandel]]&gt;=F$435,F$435,Tabell2[[#This Row],[Kvinneandel]]))</f>
        <v>0.12833341426573511</v>
      </c>
      <c r="P93" s="34">
        <f>IF(Tabell2[[#This Row],[Eldreandel]]&lt;=G$434,G$434,IF(Tabell2[[#This Row],[Eldreandel]]&gt;=G$435,G$435,Tabell2[[#This Row],[Eldreandel]]))</f>
        <v>0.14739763638534081</v>
      </c>
      <c r="Q93" s="34">
        <f>IF(Tabell2[[#This Row],[Sysselsettingsvekst10]]&lt;=H$434,H$434,IF(Tabell2[[#This Row],[Sysselsettingsvekst10]]&gt;=H$435,H$435,Tabell2[[#This Row],[Sysselsettingsvekst10]]))</f>
        <v>0.14909488139825222</v>
      </c>
      <c r="R93" s="34">
        <f>IF(Tabell2[[#This Row],[Yrkesaktivandel]]&lt;=I$434,I$434,IF(Tabell2[[#This Row],[Yrkesaktivandel]]&gt;=I$435,I$435,Tabell2[[#This Row],[Yrkesaktivandel]]))</f>
        <v>0.83197552842263423</v>
      </c>
      <c r="S93" s="22">
        <f>IF(Tabell2[[#This Row],[Inntekt]]&lt;=J$434,J$434,IF(Tabell2[[#This Row],[Inntekt]]&gt;=J$435,J$435,Tabell2[[#This Row],[Inntekt]]))</f>
        <v>400200</v>
      </c>
      <c r="T93" s="22">
        <f>IF(Tabell2[[#This Row],[NIBR11-T]]&lt;=K$437,100,IF(Tabell2[[#This Row],[NIBR11-T]]&gt;=K$436,0,100*(K$436-Tabell2[[#This Row],[NIBR11-T]])/K$439))</f>
        <v>90</v>
      </c>
      <c r="U93" s="7">
        <f>IF(Tabell2[[#This Row],[ReisetidOslo-T]]&lt;=L$437,100,IF(Tabell2[[#This Row],[ReisetidOslo-T]]&gt;=L$436,0,100*(L$436-Tabell2[[#This Row],[ReisetidOslo-T]])/L$439))</f>
        <v>100</v>
      </c>
      <c r="V93" s="7">
        <f>100-(M$436-Tabell2[[#This Row],[Beftettotal-T]])*100/M$439</f>
        <v>100</v>
      </c>
      <c r="W93" s="7">
        <f>100-(N$436-Tabell2[[#This Row],[Befvekst10-T]])*100/N$439</f>
        <v>100</v>
      </c>
      <c r="X93" s="7">
        <f>100-(O$436-Tabell2[[#This Row],[Kvinneandel-T]])*100/O$439</f>
        <v>100</v>
      </c>
      <c r="Y93" s="7">
        <f>(P$436-Tabell2[[#This Row],[Eldreandel-T]])*100/P$439</f>
        <v>73.401454672187441</v>
      </c>
      <c r="Z93" s="7">
        <f>100-(Q$436-Tabell2[[#This Row],[Sysselsettingsvekst10-T]])*100/Q$439</f>
        <v>65.110388421481304</v>
      </c>
      <c r="AA93" s="7">
        <f>100-(R$436-Tabell2[[#This Row],[Yrkesaktivandel-T]])*100/R$439</f>
        <v>0</v>
      </c>
      <c r="AB93" s="7">
        <f>100-(S$436-Tabell2[[#This Row],[Inntekt-T]])*100/S$439</f>
        <v>79.591362897608548</v>
      </c>
      <c r="AC93" s="55">
        <f>Tabell2[[#This Row],[NIBR11-I]]*Vekter!$B$3</f>
        <v>18</v>
      </c>
      <c r="AD93" s="55">
        <f>Tabell2[[#This Row],[ReisetidOslo-I]]*Vekter!$C$3</f>
        <v>10</v>
      </c>
      <c r="AE93" s="55">
        <f>Tabell2[[#This Row],[Beftettotal-I]]*Vekter!$D$3</f>
        <v>10</v>
      </c>
      <c r="AF93" s="55">
        <f>Tabell2[[#This Row],[Befvekst10-I]]*Vekter!$E$3</f>
        <v>20</v>
      </c>
      <c r="AG93" s="55">
        <f>Tabell2[[#This Row],[Kvinneandel-I]]*Vekter!$F$3</f>
        <v>5</v>
      </c>
      <c r="AH93" s="55">
        <f>Tabell2[[#This Row],[Eldreandel-I]]*Vekter!$G$3</f>
        <v>3.6700727336093721</v>
      </c>
      <c r="AI93" s="55">
        <f>Tabell2[[#This Row],[Sysselsettingsvekst10-I]]*Vekter!$H$3</f>
        <v>6.5110388421481309</v>
      </c>
      <c r="AJ93" s="55">
        <f>Tabell2[[#This Row],[Yrkesaktivandel-I]]*Vekter!$J$3</f>
        <v>0</v>
      </c>
      <c r="AK93" s="55">
        <f>Tabell2[[#This Row],[Inntekt-I]]*Vekter!$L$3</f>
        <v>7.9591362897608553</v>
      </c>
      <c r="AL93" s="56">
        <f>SUM(Tabell2[[#This Row],[NIBR11-v]:[Inntekt-v]])</f>
        <v>81.140247865518347</v>
      </c>
    </row>
    <row r="94" spans="1:38" x14ac:dyDescent="0.25">
      <c r="A94" s="2" t="s">
        <v>91</v>
      </c>
      <c r="B94">
        <f>'Rådata-K'!M93</f>
        <v>5</v>
      </c>
      <c r="C94" s="7">
        <f>'Rådata-K'!L93</f>
        <v>59.083333333299997</v>
      </c>
      <c r="D94" s="34">
        <f>'Rådata-K'!N93</f>
        <v>33.679658046375565</v>
      </c>
      <c r="E94" s="34">
        <f>'Rådata-K'!O93</f>
        <v>0.14915677163999308</v>
      </c>
      <c r="F94" s="34">
        <f>'Rådata-K'!P93</f>
        <v>0.12313279173374266</v>
      </c>
      <c r="G94" s="34">
        <f>'Rådata-K'!Q93</f>
        <v>0.14772939987271161</v>
      </c>
      <c r="H94" s="34">
        <f>'Rådata-K'!R93</f>
        <v>0.26468356351494915</v>
      </c>
      <c r="I94" s="34">
        <f>'Rådata-K'!S93</f>
        <v>0.87731847819206177</v>
      </c>
      <c r="J94" s="22">
        <f>'Rådata-K'!K93</f>
        <v>441700</v>
      </c>
      <c r="K94" s="22">
        <f>Tabell2[[#This Row],[NIBR11]]</f>
        <v>5</v>
      </c>
      <c r="L94" s="32">
        <f>IF(Tabell2[[#This Row],[ReisetidOslo]]&lt;=C$434,C$434,IF(Tabell2[[#This Row],[ReisetidOslo]]&gt;=C$435,C$435,Tabell2[[#This Row],[ReisetidOslo]]))</f>
        <v>59.083333333299997</v>
      </c>
      <c r="M94" s="32">
        <f>IF(Tabell2[[#This Row],[Beftettotal]]&lt;=D$434,D$434,IF(Tabell2[[#This Row],[Beftettotal]]&gt;=D$435,D$435,Tabell2[[#This Row],[Beftettotal]]))</f>
        <v>33.679658046375565</v>
      </c>
      <c r="N94" s="34">
        <f>IF(Tabell2[[#This Row],[Befvekst10]]&lt;=E$434,E$434,IF(Tabell2[[#This Row],[Befvekst10]]&gt;=E$435,E$435,Tabell2[[#This Row],[Befvekst10]]))</f>
        <v>0.14915677163999308</v>
      </c>
      <c r="O94" s="34">
        <f>IF(Tabell2[[#This Row],[Kvinneandel]]&lt;=F$434,F$434,IF(Tabell2[[#This Row],[Kvinneandel]]&gt;=F$435,F$435,Tabell2[[#This Row],[Kvinneandel]]))</f>
        <v>0.12313279173374266</v>
      </c>
      <c r="P94" s="34">
        <f>IF(Tabell2[[#This Row],[Eldreandel]]&lt;=G$434,G$434,IF(Tabell2[[#This Row],[Eldreandel]]&gt;=G$435,G$435,Tabell2[[#This Row],[Eldreandel]]))</f>
        <v>0.14772939987271161</v>
      </c>
      <c r="Q94" s="34">
        <f>IF(Tabell2[[#This Row],[Sysselsettingsvekst10]]&lt;=H$434,H$434,IF(Tabell2[[#This Row],[Sysselsettingsvekst10]]&gt;=H$435,H$435,Tabell2[[#This Row],[Sysselsettingsvekst10]]))</f>
        <v>0.26468356351494915</v>
      </c>
      <c r="R94" s="34">
        <f>IF(Tabell2[[#This Row],[Yrkesaktivandel]]&lt;=I$434,I$434,IF(Tabell2[[#This Row],[Yrkesaktivandel]]&gt;=I$435,I$435,Tabell2[[#This Row],[Yrkesaktivandel]]))</f>
        <v>0.87731847819206177</v>
      </c>
      <c r="S94" s="22">
        <f>IF(Tabell2[[#This Row],[Inntekt]]&lt;=J$434,J$434,IF(Tabell2[[#This Row],[Inntekt]]&gt;=J$435,J$435,Tabell2[[#This Row],[Inntekt]]))</f>
        <v>417780</v>
      </c>
      <c r="T94" s="22">
        <f>IF(Tabell2[[#This Row],[NIBR11-T]]&lt;=K$437,100,IF(Tabell2[[#This Row],[NIBR11-T]]&gt;=K$436,0,100*(K$436-Tabell2[[#This Row],[NIBR11-T]])/K$439))</f>
        <v>60</v>
      </c>
      <c r="U94" s="7">
        <f>IF(Tabell2[[#This Row],[ReisetidOslo-T]]&lt;=L$437,100,IF(Tabell2[[#This Row],[ReisetidOslo-T]]&gt;=L$436,0,100*(L$436-Tabell2[[#This Row],[ReisetidOslo-T]])/L$439))</f>
        <v>97.129067641696807</v>
      </c>
      <c r="V94" s="7">
        <f>100-(M$436-Tabell2[[#This Row],[Beftettotal-T]])*100/M$439</f>
        <v>25.024926474418351</v>
      </c>
      <c r="W94" s="7">
        <f>100-(N$436-Tabell2[[#This Row],[Befvekst10-T]])*100/N$439</f>
        <v>90.735326425180673</v>
      </c>
      <c r="X94" s="7">
        <f>100-(O$436-Tabell2[[#This Row],[Kvinneandel-T]])*100/O$439</f>
        <v>86.257451330359899</v>
      </c>
      <c r="Y94" s="7">
        <f>(P$436-Tabell2[[#This Row],[Eldreandel-T]])*100/P$439</f>
        <v>73.037924187818547</v>
      </c>
      <c r="Z94" s="7">
        <f>100-(Q$436-Tabell2[[#This Row],[Sysselsettingsvekst10-T]])*100/Q$439</f>
        <v>99.502749468508981</v>
      </c>
      <c r="AA94" s="7">
        <f>100-(R$436-Tabell2[[#This Row],[Yrkesaktivandel-T]])*100/R$439</f>
        <v>34.863819940398542</v>
      </c>
      <c r="AB94" s="7">
        <f>100-(S$436-Tabell2[[#This Row],[Inntekt-T]])*100/S$439</f>
        <v>100</v>
      </c>
      <c r="AC94" s="55">
        <f>Tabell2[[#This Row],[NIBR11-I]]*Vekter!$B$3</f>
        <v>12</v>
      </c>
      <c r="AD94" s="55">
        <f>Tabell2[[#This Row],[ReisetidOslo-I]]*Vekter!$C$3</f>
        <v>9.7129067641696807</v>
      </c>
      <c r="AE94" s="55">
        <f>Tabell2[[#This Row],[Beftettotal-I]]*Vekter!$D$3</f>
        <v>2.5024926474418354</v>
      </c>
      <c r="AF94" s="55">
        <f>Tabell2[[#This Row],[Befvekst10-I]]*Vekter!$E$3</f>
        <v>18.147065285036135</v>
      </c>
      <c r="AG94" s="55">
        <f>Tabell2[[#This Row],[Kvinneandel-I]]*Vekter!$F$3</f>
        <v>4.3128725665179948</v>
      </c>
      <c r="AH94" s="55">
        <f>Tabell2[[#This Row],[Eldreandel-I]]*Vekter!$G$3</f>
        <v>3.6518962093909275</v>
      </c>
      <c r="AI94" s="55">
        <f>Tabell2[[#This Row],[Sysselsettingsvekst10-I]]*Vekter!$H$3</f>
        <v>9.9502749468508984</v>
      </c>
      <c r="AJ94" s="55">
        <f>Tabell2[[#This Row],[Yrkesaktivandel-I]]*Vekter!$J$3</f>
        <v>3.4863819940398546</v>
      </c>
      <c r="AK94" s="55">
        <f>Tabell2[[#This Row],[Inntekt-I]]*Vekter!$L$3</f>
        <v>10</v>
      </c>
      <c r="AL94" s="56">
        <f>SUM(Tabell2[[#This Row],[NIBR11-v]:[Inntekt-v]])</f>
        <v>73.763890413447314</v>
      </c>
    </row>
    <row r="95" spans="1:38" x14ac:dyDescent="0.25">
      <c r="A95" s="2" t="s">
        <v>92</v>
      </c>
      <c r="B95">
        <f>'Rådata-K'!M94</f>
        <v>5</v>
      </c>
      <c r="C95" s="7">
        <f>'Rådata-K'!L94</f>
        <v>47.05</v>
      </c>
      <c r="D95" s="34">
        <f>'Rådata-K'!N94</f>
        <v>19.106412531831161</v>
      </c>
      <c r="E95" s="34">
        <f>'Rådata-K'!O94</f>
        <v>5.815734178567622E-2</v>
      </c>
      <c r="F95" s="34">
        <f>'Rådata-K'!P94</f>
        <v>0.11873990306946688</v>
      </c>
      <c r="G95" s="34">
        <f>'Rådata-K'!Q94</f>
        <v>0.16269520732364029</v>
      </c>
      <c r="H95" s="34">
        <f>'Rådata-K'!R94</f>
        <v>3.1427716252619087E-2</v>
      </c>
      <c r="I95" s="34">
        <f>'Rådata-K'!S94</f>
        <v>0.84823863636363639</v>
      </c>
      <c r="J95" s="22">
        <f>'Rådata-K'!K94</f>
        <v>369100</v>
      </c>
      <c r="K95" s="22">
        <f>Tabell2[[#This Row],[NIBR11]]</f>
        <v>5</v>
      </c>
      <c r="L95" s="32">
        <f>IF(Tabell2[[#This Row],[ReisetidOslo]]&lt;=C$434,C$434,IF(Tabell2[[#This Row],[ReisetidOslo]]&gt;=C$435,C$435,Tabell2[[#This Row],[ReisetidOslo]]))</f>
        <v>52.54</v>
      </c>
      <c r="M95" s="32">
        <f>IF(Tabell2[[#This Row],[Beftettotal]]&lt;=D$434,D$434,IF(Tabell2[[#This Row],[Beftettotal]]&gt;=D$435,D$435,Tabell2[[#This Row],[Beftettotal]]))</f>
        <v>19.106412531831161</v>
      </c>
      <c r="N95" s="34">
        <f>IF(Tabell2[[#This Row],[Befvekst10]]&lt;=E$434,E$434,IF(Tabell2[[#This Row],[Befvekst10]]&gt;=E$435,E$435,Tabell2[[#This Row],[Befvekst10]]))</f>
        <v>5.815734178567622E-2</v>
      </c>
      <c r="O95" s="34">
        <f>IF(Tabell2[[#This Row],[Kvinneandel]]&lt;=F$434,F$434,IF(Tabell2[[#This Row],[Kvinneandel]]&gt;=F$435,F$435,Tabell2[[#This Row],[Kvinneandel]]))</f>
        <v>0.11873990306946688</v>
      </c>
      <c r="P95" s="34">
        <f>IF(Tabell2[[#This Row],[Eldreandel]]&lt;=G$434,G$434,IF(Tabell2[[#This Row],[Eldreandel]]&gt;=G$435,G$435,Tabell2[[#This Row],[Eldreandel]]))</f>
        <v>0.16269520732364029</v>
      </c>
      <c r="Q95" s="34">
        <f>IF(Tabell2[[#This Row],[Sysselsettingsvekst10]]&lt;=H$434,H$434,IF(Tabell2[[#This Row],[Sysselsettingsvekst10]]&gt;=H$435,H$435,Tabell2[[#This Row],[Sysselsettingsvekst10]]))</f>
        <v>3.1427716252619087E-2</v>
      </c>
      <c r="R95" s="34">
        <f>IF(Tabell2[[#This Row],[Yrkesaktivandel]]&lt;=I$434,I$434,IF(Tabell2[[#This Row],[Yrkesaktivandel]]&gt;=I$435,I$435,Tabell2[[#This Row],[Yrkesaktivandel]]))</f>
        <v>0.84823863636363639</v>
      </c>
      <c r="S95" s="22">
        <f>IF(Tabell2[[#This Row],[Inntekt]]&lt;=J$434,J$434,IF(Tabell2[[#This Row],[Inntekt]]&gt;=J$435,J$435,Tabell2[[#This Row],[Inntekt]]))</f>
        <v>369100</v>
      </c>
      <c r="T95" s="22">
        <f>IF(Tabell2[[#This Row],[NIBR11-T]]&lt;=K$437,100,IF(Tabell2[[#This Row],[NIBR11-T]]&gt;=K$436,0,100*(K$436-Tabell2[[#This Row],[NIBR11-T]])/K$439))</f>
        <v>60</v>
      </c>
      <c r="U95" s="7">
        <f>IF(Tabell2[[#This Row],[ReisetidOslo-T]]&lt;=L$437,100,IF(Tabell2[[#This Row],[ReisetidOslo-T]]&gt;=L$436,0,100*(L$436-Tabell2[[#This Row],[ReisetidOslo-T]])/L$439))</f>
        <v>100</v>
      </c>
      <c r="V95" s="7">
        <f>100-(M$436-Tabell2[[#This Row],[Beftettotal-T]])*100/M$439</f>
        <v>13.751489579734894</v>
      </c>
      <c r="W95" s="7">
        <f>100-(N$436-Tabell2[[#This Row],[Befvekst10-T]])*100/N$439</f>
        <v>54.09562955354307</v>
      </c>
      <c r="X95" s="7">
        <f>100-(O$436-Tabell2[[#This Row],[Kvinneandel-T]])*100/O$439</f>
        <v>74.649324438291188</v>
      </c>
      <c r="Y95" s="7">
        <f>(P$436-Tabell2[[#This Row],[Eldreandel-T]])*100/P$439</f>
        <v>56.639111664102927</v>
      </c>
      <c r="Z95" s="7">
        <f>100-(Q$436-Tabell2[[#This Row],[Sysselsettingsvekst10-T]])*100/Q$439</f>
        <v>30.099593653675271</v>
      </c>
      <c r="AA95" s="7">
        <f>100-(R$436-Tabell2[[#This Row],[Yrkesaktivandel-T]])*100/R$439</f>
        <v>12.504569504400891</v>
      </c>
      <c r="AB95" s="7">
        <f>100-(S$436-Tabell2[[#This Row],[Inntekt-T]])*100/S$439</f>
        <v>43.487346180636173</v>
      </c>
      <c r="AC95" s="55">
        <f>Tabell2[[#This Row],[NIBR11-I]]*Vekter!$B$3</f>
        <v>12</v>
      </c>
      <c r="AD95" s="55">
        <f>Tabell2[[#This Row],[ReisetidOslo-I]]*Vekter!$C$3</f>
        <v>10</v>
      </c>
      <c r="AE95" s="55">
        <f>Tabell2[[#This Row],[Beftettotal-I]]*Vekter!$D$3</f>
        <v>1.3751489579734895</v>
      </c>
      <c r="AF95" s="55">
        <f>Tabell2[[#This Row],[Befvekst10-I]]*Vekter!$E$3</f>
        <v>10.819125910708614</v>
      </c>
      <c r="AG95" s="55">
        <f>Tabell2[[#This Row],[Kvinneandel-I]]*Vekter!$F$3</f>
        <v>3.7324662219145597</v>
      </c>
      <c r="AH95" s="55">
        <f>Tabell2[[#This Row],[Eldreandel-I]]*Vekter!$G$3</f>
        <v>2.8319555832051466</v>
      </c>
      <c r="AI95" s="55">
        <f>Tabell2[[#This Row],[Sysselsettingsvekst10-I]]*Vekter!$H$3</f>
        <v>3.0099593653675272</v>
      </c>
      <c r="AJ95" s="55">
        <f>Tabell2[[#This Row],[Yrkesaktivandel-I]]*Vekter!$J$3</f>
        <v>1.2504569504400891</v>
      </c>
      <c r="AK95" s="55">
        <f>Tabell2[[#This Row],[Inntekt-I]]*Vekter!$L$3</f>
        <v>4.3487346180636175</v>
      </c>
      <c r="AL95" s="56">
        <f>SUM(Tabell2[[#This Row],[NIBR11-v]:[Inntekt-v]])</f>
        <v>49.367847607673035</v>
      </c>
    </row>
    <row r="96" spans="1:38" x14ac:dyDescent="0.25">
      <c r="A96" s="2" t="s">
        <v>93</v>
      </c>
      <c r="B96">
        <f>'Rådata-K'!M95</f>
        <v>5</v>
      </c>
      <c r="C96" s="7">
        <f>'Rådata-K'!L95</f>
        <v>37.049999999999997</v>
      </c>
      <c r="D96" s="34">
        <f>'Rådata-K'!N95</f>
        <v>34.758692267773746</v>
      </c>
      <c r="E96" s="34">
        <f>'Rådata-K'!O95</f>
        <v>0.2809332568368712</v>
      </c>
      <c r="F96" s="34">
        <f>'Rådata-K'!P95</f>
        <v>0.11914004180352344</v>
      </c>
      <c r="G96" s="34">
        <f>'Rådata-K'!Q95</f>
        <v>0.13616004777545537</v>
      </c>
      <c r="H96" s="34">
        <f>'Rådata-K'!R95</f>
        <v>0.26795895096921329</v>
      </c>
      <c r="I96" s="34">
        <f>'Rådata-K'!S95</f>
        <v>0.86917065792790527</v>
      </c>
      <c r="J96" s="22">
        <f>'Rådata-K'!K95</f>
        <v>443200</v>
      </c>
      <c r="K96" s="22">
        <f>Tabell2[[#This Row],[NIBR11]]</f>
        <v>5</v>
      </c>
      <c r="L96" s="32">
        <f>IF(Tabell2[[#This Row],[ReisetidOslo]]&lt;=C$434,C$434,IF(Tabell2[[#This Row],[ReisetidOslo]]&gt;=C$435,C$435,Tabell2[[#This Row],[ReisetidOslo]]))</f>
        <v>52.54</v>
      </c>
      <c r="M96" s="32">
        <f>IF(Tabell2[[#This Row],[Beftettotal]]&lt;=D$434,D$434,IF(Tabell2[[#This Row],[Beftettotal]]&gt;=D$435,D$435,Tabell2[[#This Row],[Beftettotal]]))</f>
        <v>34.758692267773746</v>
      </c>
      <c r="N96" s="34">
        <f>IF(Tabell2[[#This Row],[Befvekst10]]&lt;=E$434,E$434,IF(Tabell2[[#This Row],[Befvekst10]]&gt;=E$435,E$435,Tabell2[[#This Row],[Befvekst10]]))</f>
        <v>0.17216678769030419</v>
      </c>
      <c r="O96" s="34">
        <f>IF(Tabell2[[#This Row],[Kvinneandel]]&lt;=F$434,F$434,IF(Tabell2[[#This Row],[Kvinneandel]]&gt;=F$435,F$435,Tabell2[[#This Row],[Kvinneandel]]))</f>
        <v>0.11914004180352344</v>
      </c>
      <c r="P96" s="34">
        <f>IF(Tabell2[[#This Row],[Eldreandel]]&lt;=G$434,G$434,IF(Tabell2[[#This Row],[Eldreandel]]&gt;=G$435,G$435,Tabell2[[#This Row],[Eldreandel]]))</f>
        <v>0.13616004777545537</v>
      </c>
      <c r="Q96" s="34">
        <f>IF(Tabell2[[#This Row],[Sysselsettingsvekst10]]&lt;=H$434,H$434,IF(Tabell2[[#This Row],[Sysselsettingsvekst10]]&gt;=H$435,H$435,Tabell2[[#This Row],[Sysselsettingsvekst10]]))</f>
        <v>0.26635476409167841</v>
      </c>
      <c r="R96" s="34">
        <f>IF(Tabell2[[#This Row],[Yrkesaktivandel]]&lt;=I$434,I$434,IF(Tabell2[[#This Row],[Yrkesaktivandel]]&gt;=I$435,I$435,Tabell2[[#This Row],[Yrkesaktivandel]]))</f>
        <v>0.86917065792790527</v>
      </c>
      <c r="S96" s="22">
        <f>IF(Tabell2[[#This Row],[Inntekt]]&lt;=J$434,J$434,IF(Tabell2[[#This Row],[Inntekt]]&gt;=J$435,J$435,Tabell2[[#This Row],[Inntekt]]))</f>
        <v>417780</v>
      </c>
      <c r="T96" s="22">
        <f>IF(Tabell2[[#This Row],[NIBR11-T]]&lt;=K$437,100,IF(Tabell2[[#This Row],[NIBR11-T]]&gt;=K$436,0,100*(K$436-Tabell2[[#This Row],[NIBR11-T]])/K$439))</f>
        <v>60</v>
      </c>
      <c r="U96" s="7">
        <f>IF(Tabell2[[#This Row],[ReisetidOslo-T]]&lt;=L$437,100,IF(Tabell2[[#This Row],[ReisetidOslo-T]]&gt;=L$436,0,100*(L$436-Tabell2[[#This Row],[ReisetidOslo-T]])/L$439))</f>
        <v>100</v>
      </c>
      <c r="V96" s="7">
        <f>100-(M$436-Tabell2[[#This Row],[Beftettotal-T]])*100/M$439</f>
        <v>25.859635818331896</v>
      </c>
      <c r="W96" s="7">
        <f>100-(N$436-Tabell2[[#This Row],[Befvekst10-T]])*100/N$439</f>
        <v>100</v>
      </c>
      <c r="X96" s="7">
        <f>100-(O$436-Tabell2[[#This Row],[Kvinneandel-T]])*100/O$439</f>
        <v>75.706683628186809</v>
      </c>
      <c r="Y96" s="7">
        <f>(P$436-Tabell2[[#This Row],[Eldreandel-T]])*100/P$439</f>
        <v>85.715064174140366</v>
      </c>
      <c r="Z96" s="7">
        <f>100-(Q$436-Tabell2[[#This Row],[Sysselsettingsvekst10-T]])*100/Q$439</f>
        <v>100</v>
      </c>
      <c r="AA96" s="7">
        <f>100-(R$436-Tabell2[[#This Row],[Yrkesaktivandel-T]])*100/R$439</f>
        <v>28.599028169224155</v>
      </c>
      <c r="AB96" s="7">
        <f>100-(S$436-Tabell2[[#This Row],[Inntekt-T]])*100/S$439</f>
        <v>100</v>
      </c>
      <c r="AC96" s="55">
        <f>Tabell2[[#This Row],[NIBR11-I]]*Vekter!$B$3</f>
        <v>12</v>
      </c>
      <c r="AD96" s="55">
        <f>Tabell2[[#This Row],[ReisetidOslo-I]]*Vekter!$C$3</f>
        <v>10</v>
      </c>
      <c r="AE96" s="55">
        <f>Tabell2[[#This Row],[Beftettotal-I]]*Vekter!$D$3</f>
        <v>2.5859635818331896</v>
      </c>
      <c r="AF96" s="55">
        <f>Tabell2[[#This Row],[Befvekst10-I]]*Vekter!$E$3</f>
        <v>20</v>
      </c>
      <c r="AG96" s="55">
        <f>Tabell2[[#This Row],[Kvinneandel-I]]*Vekter!$F$3</f>
        <v>3.7853341814093406</v>
      </c>
      <c r="AH96" s="55">
        <f>Tabell2[[#This Row],[Eldreandel-I]]*Vekter!$G$3</f>
        <v>4.2857532087070185</v>
      </c>
      <c r="AI96" s="55">
        <f>Tabell2[[#This Row],[Sysselsettingsvekst10-I]]*Vekter!$H$3</f>
        <v>10</v>
      </c>
      <c r="AJ96" s="55">
        <f>Tabell2[[#This Row],[Yrkesaktivandel-I]]*Vekter!$J$3</f>
        <v>2.8599028169224159</v>
      </c>
      <c r="AK96" s="55">
        <f>Tabell2[[#This Row],[Inntekt-I]]*Vekter!$L$3</f>
        <v>10</v>
      </c>
      <c r="AL96" s="56">
        <f>SUM(Tabell2[[#This Row],[NIBR11-v]:[Inntekt-v]])</f>
        <v>75.516953788871973</v>
      </c>
    </row>
    <row r="97" spans="1:38" x14ac:dyDescent="0.25">
      <c r="A97" s="2" t="s">
        <v>94</v>
      </c>
      <c r="B97">
        <f>'Rådata-K'!M96</f>
        <v>8</v>
      </c>
      <c r="C97" s="7">
        <f>'Rådata-K'!L96</f>
        <v>92.333333333300004</v>
      </c>
      <c r="D97" s="34">
        <f>'Rådata-K'!N96</f>
        <v>1.4664754901264887</v>
      </c>
      <c r="E97" s="34">
        <f>'Rådata-K'!O96</f>
        <v>1.8737672583826415E-2</v>
      </c>
      <c r="F97" s="34">
        <f>'Rådata-K'!P96</f>
        <v>9.6805421103581799E-2</v>
      </c>
      <c r="G97" s="34">
        <f>'Rådata-K'!Q96</f>
        <v>0.21490803484995161</v>
      </c>
      <c r="H97" s="34">
        <f>'Rådata-K'!R96</f>
        <v>0.2773109243697478</v>
      </c>
      <c r="I97" s="34">
        <f>'Rådata-K'!S96</f>
        <v>0.91222030981067126</v>
      </c>
      <c r="J97" s="22">
        <f>'Rådata-K'!K96</f>
        <v>364800</v>
      </c>
      <c r="K97" s="22">
        <f>Tabell2[[#This Row],[NIBR11]]</f>
        <v>8</v>
      </c>
      <c r="L97" s="32">
        <f>IF(Tabell2[[#This Row],[ReisetidOslo]]&lt;=C$434,C$434,IF(Tabell2[[#This Row],[ReisetidOslo]]&gt;=C$435,C$435,Tabell2[[#This Row],[ReisetidOslo]]))</f>
        <v>92.333333333300004</v>
      </c>
      <c r="M97" s="32">
        <f>IF(Tabell2[[#This Row],[Beftettotal]]&lt;=D$434,D$434,IF(Tabell2[[#This Row],[Beftettotal]]&gt;=D$435,D$435,Tabell2[[#This Row],[Beftettotal]]))</f>
        <v>1.4664754901264887</v>
      </c>
      <c r="N97" s="34">
        <f>IF(Tabell2[[#This Row],[Befvekst10]]&lt;=E$434,E$434,IF(Tabell2[[#This Row],[Befvekst10]]&gt;=E$435,E$435,Tabell2[[#This Row],[Befvekst10]]))</f>
        <v>1.8737672583826415E-2</v>
      </c>
      <c r="O97" s="34">
        <f>IF(Tabell2[[#This Row],[Kvinneandel]]&lt;=F$434,F$434,IF(Tabell2[[#This Row],[Kvinneandel]]&gt;=F$435,F$435,Tabell2[[#This Row],[Kvinneandel]]))</f>
        <v>9.6805421103581799E-2</v>
      </c>
      <c r="P97" s="34">
        <f>IF(Tabell2[[#This Row],[Eldreandel]]&lt;=G$434,G$434,IF(Tabell2[[#This Row],[Eldreandel]]&gt;=G$435,G$435,Tabell2[[#This Row],[Eldreandel]]))</f>
        <v>0.21438492803547596</v>
      </c>
      <c r="Q97" s="34">
        <f>IF(Tabell2[[#This Row],[Sysselsettingsvekst10]]&lt;=H$434,H$434,IF(Tabell2[[#This Row],[Sysselsettingsvekst10]]&gt;=H$435,H$435,Tabell2[[#This Row],[Sysselsettingsvekst10]]))</f>
        <v>0.26635476409167841</v>
      </c>
      <c r="R97" s="34">
        <f>IF(Tabell2[[#This Row],[Yrkesaktivandel]]&lt;=I$434,I$434,IF(Tabell2[[#This Row],[Yrkesaktivandel]]&gt;=I$435,I$435,Tabell2[[#This Row],[Yrkesaktivandel]]))</f>
        <v>0.91222030981067126</v>
      </c>
      <c r="S97" s="22">
        <f>IF(Tabell2[[#This Row],[Inntekt]]&lt;=J$434,J$434,IF(Tabell2[[#This Row],[Inntekt]]&gt;=J$435,J$435,Tabell2[[#This Row],[Inntekt]]))</f>
        <v>364800</v>
      </c>
      <c r="T97" s="22">
        <f>IF(Tabell2[[#This Row],[NIBR11-T]]&lt;=K$437,100,IF(Tabell2[[#This Row],[NIBR11-T]]&gt;=K$436,0,100*(K$436-Tabell2[[#This Row],[NIBR11-T]])/K$439))</f>
        <v>30</v>
      </c>
      <c r="U97" s="7">
        <f>IF(Tabell2[[#This Row],[ReisetidOslo-T]]&lt;=L$437,100,IF(Tabell2[[#This Row],[ReisetidOslo-T]]&gt;=L$436,0,100*(L$436-Tabell2[[#This Row],[ReisetidOslo-T]])/L$439))</f>
        <v>82.540402193800688</v>
      </c>
      <c r="V97" s="7">
        <f>100-(M$436-Tabell2[[#This Row],[Beftettotal-T]])*100/M$439</f>
        <v>0.10574972944709771</v>
      </c>
      <c r="W97" s="7">
        <f>100-(N$436-Tabell2[[#This Row],[Befvekst10-T]])*100/N$439</f>
        <v>38.223829778003179</v>
      </c>
      <c r="X97" s="7">
        <f>100-(O$436-Tabell2[[#This Row],[Kvinneandel-T]])*100/O$439</f>
        <v>16.687862304635161</v>
      </c>
      <c r="Y97" s="7">
        <f>(P$436-Tabell2[[#This Row],[Eldreandel-T]])*100/P$439</f>
        <v>0</v>
      </c>
      <c r="Z97" s="7">
        <f>100-(Q$436-Tabell2[[#This Row],[Sysselsettingsvekst10-T]])*100/Q$439</f>
        <v>100</v>
      </c>
      <c r="AA97" s="7">
        <f>100-(R$436-Tabell2[[#This Row],[Yrkesaktivandel-T]])*100/R$439</f>
        <v>61.699550287208574</v>
      </c>
      <c r="AB97" s="7">
        <f>100-(S$436-Tabell2[[#This Row],[Inntekt-T]])*100/S$439</f>
        <v>38.495472486649639</v>
      </c>
      <c r="AC97" s="55">
        <f>Tabell2[[#This Row],[NIBR11-I]]*Vekter!$B$3</f>
        <v>6</v>
      </c>
      <c r="AD97" s="55">
        <f>Tabell2[[#This Row],[ReisetidOslo-I]]*Vekter!$C$3</f>
        <v>8.2540402193800695</v>
      </c>
      <c r="AE97" s="55">
        <f>Tabell2[[#This Row],[Beftettotal-I]]*Vekter!$D$3</f>
        <v>1.0574972944709771E-2</v>
      </c>
      <c r="AF97" s="55">
        <f>Tabell2[[#This Row],[Befvekst10-I]]*Vekter!$E$3</f>
        <v>7.6447659556006364</v>
      </c>
      <c r="AG97" s="55">
        <f>Tabell2[[#This Row],[Kvinneandel-I]]*Vekter!$F$3</f>
        <v>0.83439311523175808</v>
      </c>
      <c r="AH97" s="55">
        <f>Tabell2[[#This Row],[Eldreandel-I]]*Vekter!$G$3</f>
        <v>0</v>
      </c>
      <c r="AI97" s="55">
        <f>Tabell2[[#This Row],[Sysselsettingsvekst10-I]]*Vekter!$H$3</f>
        <v>10</v>
      </c>
      <c r="AJ97" s="55">
        <f>Tabell2[[#This Row],[Yrkesaktivandel-I]]*Vekter!$J$3</f>
        <v>6.1699550287208575</v>
      </c>
      <c r="AK97" s="55">
        <f>Tabell2[[#This Row],[Inntekt-I]]*Vekter!$L$3</f>
        <v>3.849547248664964</v>
      </c>
      <c r="AL97" s="56">
        <f>SUM(Tabell2[[#This Row],[NIBR11-v]:[Inntekt-v]])</f>
        <v>42.763276540542996</v>
      </c>
    </row>
    <row r="98" spans="1:38" x14ac:dyDescent="0.25">
      <c r="A98" s="2" t="s">
        <v>95</v>
      </c>
      <c r="B98">
        <f>'Rådata-K'!M97</f>
        <v>8</v>
      </c>
      <c r="C98" s="7">
        <f>'Rådata-K'!L97</f>
        <v>117.633333333</v>
      </c>
      <c r="D98" s="34">
        <f>'Rådata-K'!N97</f>
        <v>4.216532661454667</v>
      </c>
      <c r="E98" s="34">
        <f>'Rådata-K'!O97</f>
        <v>-2.0373027259684373E-2</v>
      </c>
      <c r="F98" s="34">
        <f>'Rådata-K'!P97</f>
        <v>0.10339777387229057</v>
      </c>
      <c r="G98" s="34">
        <f>'Rådata-K'!Q97</f>
        <v>0.19156414762741653</v>
      </c>
      <c r="H98" s="34">
        <f>'Rådata-K'!R97</f>
        <v>-5.8625336927223715E-2</v>
      </c>
      <c r="I98" s="34">
        <f>'Rådata-K'!S97</f>
        <v>0.89353031074885381</v>
      </c>
      <c r="J98" s="22">
        <f>'Rådata-K'!K97</f>
        <v>352900</v>
      </c>
      <c r="K98" s="22">
        <f>Tabell2[[#This Row],[NIBR11]]</f>
        <v>8</v>
      </c>
      <c r="L98" s="32">
        <f>IF(Tabell2[[#This Row],[ReisetidOslo]]&lt;=C$434,C$434,IF(Tabell2[[#This Row],[ReisetidOslo]]&gt;=C$435,C$435,Tabell2[[#This Row],[ReisetidOslo]]))</f>
        <v>117.633333333</v>
      </c>
      <c r="M98" s="32">
        <f>IF(Tabell2[[#This Row],[Beftettotal]]&lt;=D$434,D$434,IF(Tabell2[[#This Row],[Beftettotal]]&gt;=D$435,D$435,Tabell2[[#This Row],[Beftettotal]]))</f>
        <v>4.216532661454667</v>
      </c>
      <c r="N98" s="34">
        <f>IF(Tabell2[[#This Row],[Befvekst10]]&lt;=E$434,E$434,IF(Tabell2[[#This Row],[Befvekst10]]&gt;=E$435,E$435,Tabell2[[#This Row],[Befvekst10]]))</f>
        <v>-2.0373027259684373E-2</v>
      </c>
      <c r="O98" s="34">
        <f>IF(Tabell2[[#This Row],[Kvinneandel]]&lt;=F$434,F$434,IF(Tabell2[[#This Row],[Kvinneandel]]&gt;=F$435,F$435,Tabell2[[#This Row],[Kvinneandel]]))</f>
        <v>0.10339777387229057</v>
      </c>
      <c r="P98" s="34">
        <f>IF(Tabell2[[#This Row],[Eldreandel]]&lt;=G$434,G$434,IF(Tabell2[[#This Row],[Eldreandel]]&gt;=G$435,G$435,Tabell2[[#This Row],[Eldreandel]]))</f>
        <v>0.19156414762741653</v>
      </c>
      <c r="Q98" s="34">
        <f>IF(Tabell2[[#This Row],[Sysselsettingsvekst10]]&lt;=H$434,H$434,IF(Tabell2[[#This Row],[Sysselsettingsvekst10]]&gt;=H$435,H$435,Tabell2[[#This Row],[Sysselsettingsvekst10]]))</f>
        <v>-5.8625336927223715E-2</v>
      </c>
      <c r="R98" s="34">
        <f>IF(Tabell2[[#This Row],[Yrkesaktivandel]]&lt;=I$434,I$434,IF(Tabell2[[#This Row],[Yrkesaktivandel]]&gt;=I$435,I$435,Tabell2[[#This Row],[Yrkesaktivandel]]))</f>
        <v>0.89353031074885381</v>
      </c>
      <c r="S98" s="22">
        <f>IF(Tabell2[[#This Row],[Inntekt]]&lt;=J$434,J$434,IF(Tabell2[[#This Row],[Inntekt]]&gt;=J$435,J$435,Tabell2[[#This Row],[Inntekt]]))</f>
        <v>352900</v>
      </c>
      <c r="T98" s="22">
        <f>IF(Tabell2[[#This Row],[NIBR11-T]]&lt;=K$437,100,IF(Tabell2[[#This Row],[NIBR11-T]]&gt;=K$436,0,100*(K$436-Tabell2[[#This Row],[NIBR11-T]])/K$439))</f>
        <v>30</v>
      </c>
      <c r="U98" s="7">
        <f>IF(Tabell2[[#This Row],[ReisetidOslo-T]]&lt;=L$437,100,IF(Tabell2[[#This Row],[ReisetidOslo-T]]&gt;=L$436,0,100*(L$436-Tabell2[[#This Row],[ReisetidOslo-T]])/L$439))</f>
        <v>71.439853747863992</v>
      </c>
      <c r="V98" s="7">
        <f>100-(M$436-Tabell2[[#This Row],[Beftettotal-T]])*100/M$439</f>
        <v>2.2331135995471811</v>
      </c>
      <c r="W98" s="7">
        <f>100-(N$436-Tabell2[[#This Row],[Befvekst10-T]])*100/N$439</f>
        <v>22.476432360261441</v>
      </c>
      <c r="X98" s="7">
        <f>100-(O$436-Tabell2[[#This Row],[Kvinneandel-T]])*100/O$439</f>
        <v>34.108032335069595</v>
      </c>
      <c r="Y98" s="7">
        <f>(P$436-Tabell2[[#This Row],[Eldreandel-T]])*100/P$439</f>
        <v>25.005914367381926</v>
      </c>
      <c r="Z98" s="7">
        <f>100-(Q$436-Tabell2[[#This Row],[Sysselsettingsvekst10-T]])*100/Q$439</f>
        <v>3.305126741927765</v>
      </c>
      <c r="AA98" s="7">
        <f>100-(R$436-Tabell2[[#This Row],[Yrkesaktivandel-T]])*100/R$439</f>
        <v>47.328964224967748</v>
      </c>
      <c r="AB98" s="7">
        <f>100-(S$436-Tabell2[[#This Row],[Inntekt-T]])*100/S$439</f>
        <v>24.680752263756673</v>
      </c>
      <c r="AC98" s="55">
        <f>Tabell2[[#This Row],[NIBR11-I]]*Vekter!$B$3</f>
        <v>6</v>
      </c>
      <c r="AD98" s="55">
        <f>Tabell2[[#This Row],[ReisetidOslo-I]]*Vekter!$C$3</f>
        <v>7.1439853747863999</v>
      </c>
      <c r="AE98" s="55">
        <f>Tabell2[[#This Row],[Beftettotal-I]]*Vekter!$D$3</f>
        <v>0.22331135995471812</v>
      </c>
      <c r="AF98" s="55">
        <f>Tabell2[[#This Row],[Befvekst10-I]]*Vekter!$E$3</f>
        <v>4.495286472052288</v>
      </c>
      <c r="AG98" s="55">
        <f>Tabell2[[#This Row],[Kvinneandel-I]]*Vekter!$F$3</f>
        <v>1.7054016167534798</v>
      </c>
      <c r="AH98" s="55">
        <f>Tabell2[[#This Row],[Eldreandel-I]]*Vekter!$G$3</f>
        <v>1.2502957183690964</v>
      </c>
      <c r="AI98" s="55">
        <f>Tabell2[[#This Row],[Sysselsettingsvekst10-I]]*Vekter!$H$3</f>
        <v>0.33051267419277652</v>
      </c>
      <c r="AJ98" s="55">
        <f>Tabell2[[#This Row],[Yrkesaktivandel-I]]*Vekter!$J$3</f>
        <v>4.7328964224967747</v>
      </c>
      <c r="AK98" s="55">
        <f>Tabell2[[#This Row],[Inntekt-I]]*Vekter!$L$3</f>
        <v>2.4680752263756673</v>
      </c>
      <c r="AL98" s="56">
        <f>SUM(Tabell2[[#This Row],[NIBR11-v]:[Inntekt-v]])</f>
        <v>28.3497648649812</v>
      </c>
    </row>
    <row r="99" spans="1:38" x14ac:dyDescent="0.25">
      <c r="A99" s="2" t="s">
        <v>96</v>
      </c>
      <c r="B99">
        <f>'Rådata-K'!M98</f>
        <v>8</v>
      </c>
      <c r="C99" s="7">
        <f>'Rådata-K'!L98</f>
        <v>134.19999999999999</v>
      </c>
      <c r="D99" s="34">
        <f>'Rådata-K'!N98</f>
        <v>8.6161242464647216</v>
      </c>
      <c r="E99" s="34">
        <f>'Rådata-K'!O98</f>
        <v>4.8685714285714221E-2</v>
      </c>
      <c r="F99" s="34">
        <f>'Rådata-K'!P98</f>
        <v>0.10636442894507411</v>
      </c>
      <c r="G99" s="34">
        <f>'Rådata-K'!Q98</f>
        <v>0.17785527462946818</v>
      </c>
      <c r="H99" s="34">
        <f>'Rådata-K'!R98</f>
        <v>3.3843961524759436E-2</v>
      </c>
      <c r="I99" s="34">
        <f>'Rådata-K'!S98</f>
        <v>0.96820473051570377</v>
      </c>
      <c r="J99" s="22">
        <f>'Rådata-K'!K98</f>
        <v>370000</v>
      </c>
      <c r="K99" s="22">
        <f>Tabell2[[#This Row],[NIBR11]]</f>
        <v>8</v>
      </c>
      <c r="L99" s="32">
        <f>IF(Tabell2[[#This Row],[ReisetidOslo]]&lt;=C$434,C$434,IF(Tabell2[[#This Row],[ReisetidOslo]]&gt;=C$435,C$435,Tabell2[[#This Row],[ReisetidOslo]]))</f>
        <v>134.19999999999999</v>
      </c>
      <c r="M99" s="32">
        <f>IF(Tabell2[[#This Row],[Beftettotal]]&lt;=D$434,D$434,IF(Tabell2[[#This Row],[Beftettotal]]&gt;=D$435,D$435,Tabell2[[#This Row],[Beftettotal]]))</f>
        <v>8.6161242464647216</v>
      </c>
      <c r="N99" s="34">
        <f>IF(Tabell2[[#This Row],[Befvekst10]]&lt;=E$434,E$434,IF(Tabell2[[#This Row],[Befvekst10]]&gt;=E$435,E$435,Tabell2[[#This Row],[Befvekst10]]))</f>
        <v>4.8685714285714221E-2</v>
      </c>
      <c r="O99" s="34">
        <f>IF(Tabell2[[#This Row],[Kvinneandel]]&lt;=F$434,F$434,IF(Tabell2[[#This Row],[Kvinneandel]]&gt;=F$435,F$435,Tabell2[[#This Row],[Kvinneandel]]))</f>
        <v>0.10636442894507411</v>
      </c>
      <c r="P99" s="34">
        <f>IF(Tabell2[[#This Row],[Eldreandel]]&lt;=G$434,G$434,IF(Tabell2[[#This Row],[Eldreandel]]&gt;=G$435,G$435,Tabell2[[#This Row],[Eldreandel]]))</f>
        <v>0.17785527462946818</v>
      </c>
      <c r="Q99" s="34">
        <f>IF(Tabell2[[#This Row],[Sysselsettingsvekst10]]&lt;=H$434,H$434,IF(Tabell2[[#This Row],[Sysselsettingsvekst10]]&gt;=H$435,H$435,Tabell2[[#This Row],[Sysselsettingsvekst10]]))</f>
        <v>3.3843961524759436E-2</v>
      </c>
      <c r="R99" s="34">
        <f>IF(Tabell2[[#This Row],[Yrkesaktivandel]]&lt;=I$434,I$434,IF(Tabell2[[#This Row],[Yrkesaktivandel]]&gt;=I$435,I$435,Tabell2[[#This Row],[Yrkesaktivandel]]))</f>
        <v>0.96203284815106216</v>
      </c>
      <c r="S99" s="22">
        <f>IF(Tabell2[[#This Row],[Inntekt]]&lt;=J$434,J$434,IF(Tabell2[[#This Row],[Inntekt]]&gt;=J$435,J$435,Tabell2[[#This Row],[Inntekt]]))</f>
        <v>370000</v>
      </c>
      <c r="T99" s="22">
        <f>IF(Tabell2[[#This Row],[NIBR11-T]]&lt;=K$437,100,IF(Tabell2[[#This Row],[NIBR11-T]]&gt;=K$436,0,100*(K$436-Tabell2[[#This Row],[NIBR11-T]])/K$439))</f>
        <v>30</v>
      </c>
      <c r="U99" s="7">
        <f>IF(Tabell2[[#This Row],[ReisetidOslo-T]]&lt;=L$437,100,IF(Tabell2[[#This Row],[ReisetidOslo-T]]&gt;=L$436,0,100*(L$436-Tabell2[[#This Row],[ReisetidOslo-T]])/L$439))</f>
        <v>64.17111517367826</v>
      </c>
      <c r="V99" s="7">
        <f>100-(M$436-Tabell2[[#This Row],[Beftettotal-T]])*100/M$439</f>
        <v>5.6365090920948688</v>
      </c>
      <c r="W99" s="7">
        <f>100-(N$436-Tabell2[[#This Row],[Befvekst10-T]])*100/N$439</f>
        <v>50.28200609419553</v>
      </c>
      <c r="X99" s="7">
        <f>100-(O$436-Tabell2[[#This Row],[Kvinneandel-T]])*100/O$439</f>
        <v>41.947363390719772</v>
      </c>
      <c r="Y99" s="7">
        <f>(P$436-Tabell2[[#This Row],[Eldreandel-T]])*100/P$439</f>
        <v>40.027438527832885</v>
      </c>
      <c r="Z99" s="7">
        <f>100-(Q$436-Tabell2[[#This Row],[Sysselsettingsvekst10-T]])*100/Q$439</f>
        <v>30.818525457861156</v>
      </c>
      <c r="AA99" s="7">
        <f>100-(R$436-Tabell2[[#This Row],[Yrkesaktivandel-T]])*100/R$439</f>
        <v>100</v>
      </c>
      <c r="AB99" s="7">
        <f>100-(S$436-Tabell2[[#This Row],[Inntekt-T]])*100/S$439</f>
        <v>44.532156953796147</v>
      </c>
      <c r="AC99" s="55">
        <f>Tabell2[[#This Row],[NIBR11-I]]*Vekter!$B$3</f>
        <v>6</v>
      </c>
      <c r="AD99" s="55">
        <f>Tabell2[[#This Row],[ReisetidOslo-I]]*Vekter!$C$3</f>
        <v>6.4171115173678261</v>
      </c>
      <c r="AE99" s="55">
        <f>Tabell2[[#This Row],[Beftettotal-I]]*Vekter!$D$3</f>
        <v>0.56365090920948691</v>
      </c>
      <c r="AF99" s="55">
        <f>Tabell2[[#This Row],[Befvekst10-I]]*Vekter!$E$3</f>
        <v>10.056401218839106</v>
      </c>
      <c r="AG99" s="55">
        <f>Tabell2[[#This Row],[Kvinneandel-I]]*Vekter!$F$3</f>
        <v>2.0973681695359887</v>
      </c>
      <c r="AH99" s="55">
        <f>Tabell2[[#This Row],[Eldreandel-I]]*Vekter!$G$3</f>
        <v>2.0013719263916445</v>
      </c>
      <c r="AI99" s="55">
        <f>Tabell2[[#This Row],[Sysselsettingsvekst10-I]]*Vekter!$H$3</f>
        <v>3.0818525457861159</v>
      </c>
      <c r="AJ99" s="55">
        <f>Tabell2[[#This Row],[Yrkesaktivandel-I]]*Vekter!$J$3</f>
        <v>10</v>
      </c>
      <c r="AK99" s="55">
        <f>Tabell2[[#This Row],[Inntekt-I]]*Vekter!$L$3</f>
        <v>4.4532156953796145</v>
      </c>
      <c r="AL99" s="56">
        <f>SUM(Tabell2[[#This Row],[NIBR11-v]:[Inntekt-v]])</f>
        <v>44.670971982509784</v>
      </c>
    </row>
    <row r="100" spans="1:38" x14ac:dyDescent="0.25">
      <c r="A100" s="2" t="s">
        <v>97</v>
      </c>
      <c r="B100">
        <f>'Rådata-K'!M99</f>
        <v>8</v>
      </c>
      <c r="C100" s="7">
        <f>'Rådata-K'!L99</f>
        <v>158.98333333299999</v>
      </c>
      <c r="D100" s="34">
        <f>'Rådata-K'!N99</f>
        <v>3.1106510603285824</v>
      </c>
      <c r="E100" s="34">
        <f>'Rådata-K'!O99</f>
        <v>0.22786799371398647</v>
      </c>
      <c r="F100" s="34">
        <f>'Rådata-K'!P99</f>
        <v>0.13054607508532423</v>
      </c>
      <c r="G100" s="34">
        <f>'Rådata-K'!Q99</f>
        <v>0.12713310580204779</v>
      </c>
      <c r="H100" s="34">
        <f>'Rådata-K'!R99</f>
        <v>0.176033934252386</v>
      </c>
      <c r="I100" s="34">
        <f>'Rådata-K'!S99</f>
        <v>0.9234550561797753</v>
      </c>
      <c r="J100" s="22">
        <f>'Rådata-K'!K99</f>
        <v>383000</v>
      </c>
      <c r="K100" s="22">
        <f>Tabell2[[#This Row],[NIBR11]]</f>
        <v>8</v>
      </c>
      <c r="L100" s="32">
        <f>IF(Tabell2[[#This Row],[ReisetidOslo]]&lt;=C$434,C$434,IF(Tabell2[[#This Row],[ReisetidOslo]]&gt;=C$435,C$435,Tabell2[[#This Row],[ReisetidOslo]]))</f>
        <v>158.98333333299999</v>
      </c>
      <c r="M100" s="32">
        <f>IF(Tabell2[[#This Row],[Beftettotal]]&lt;=D$434,D$434,IF(Tabell2[[#This Row],[Beftettotal]]&gt;=D$435,D$435,Tabell2[[#This Row],[Beftettotal]]))</f>
        <v>3.1106510603285824</v>
      </c>
      <c r="N100" s="34">
        <f>IF(Tabell2[[#This Row],[Befvekst10]]&lt;=E$434,E$434,IF(Tabell2[[#This Row],[Befvekst10]]&gt;=E$435,E$435,Tabell2[[#This Row],[Befvekst10]]))</f>
        <v>0.17216678769030419</v>
      </c>
      <c r="O100" s="34">
        <f>IF(Tabell2[[#This Row],[Kvinneandel]]&lt;=F$434,F$434,IF(Tabell2[[#This Row],[Kvinneandel]]&gt;=F$435,F$435,Tabell2[[#This Row],[Kvinneandel]]))</f>
        <v>0.12833341426573511</v>
      </c>
      <c r="P100" s="34">
        <f>IF(Tabell2[[#This Row],[Eldreandel]]&lt;=G$434,G$434,IF(Tabell2[[#This Row],[Eldreandel]]&gt;=G$435,G$435,Tabell2[[#This Row],[Eldreandel]]))</f>
        <v>0.12713310580204779</v>
      </c>
      <c r="Q100" s="34">
        <f>IF(Tabell2[[#This Row],[Sysselsettingsvekst10]]&lt;=H$434,H$434,IF(Tabell2[[#This Row],[Sysselsettingsvekst10]]&gt;=H$435,H$435,Tabell2[[#This Row],[Sysselsettingsvekst10]]))</f>
        <v>0.176033934252386</v>
      </c>
      <c r="R100" s="34">
        <f>IF(Tabell2[[#This Row],[Yrkesaktivandel]]&lt;=I$434,I$434,IF(Tabell2[[#This Row],[Yrkesaktivandel]]&gt;=I$435,I$435,Tabell2[[#This Row],[Yrkesaktivandel]]))</f>
        <v>0.9234550561797753</v>
      </c>
      <c r="S100" s="22">
        <f>IF(Tabell2[[#This Row],[Inntekt]]&lt;=J$434,J$434,IF(Tabell2[[#This Row],[Inntekt]]&gt;=J$435,J$435,Tabell2[[#This Row],[Inntekt]]))</f>
        <v>383000</v>
      </c>
      <c r="T100" s="22">
        <f>IF(Tabell2[[#This Row],[NIBR11-T]]&lt;=K$437,100,IF(Tabell2[[#This Row],[NIBR11-T]]&gt;=K$436,0,100*(K$436-Tabell2[[#This Row],[NIBR11-T]])/K$439))</f>
        <v>30</v>
      </c>
      <c r="U100" s="7">
        <f>IF(Tabell2[[#This Row],[ReisetidOslo-T]]&lt;=L$437,100,IF(Tabell2[[#This Row],[ReisetidOslo-T]]&gt;=L$436,0,100*(L$436-Tabell2[[#This Row],[ReisetidOslo-T]])/L$439))</f>
        <v>53.297257769803693</v>
      </c>
      <c r="V100" s="7">
        <f>100-(M$436-Tabell2[[#This Row],[Beftettotal-T]])*100/M$439</f>
        <v>1.3776359071660238</v>
      </c>
      <c r="W100" s="7">
        <f>100-(N$436-Tabell2[[#This Row],[Befvekst10-T]])*100/N$439</f>
        <v>100</v>
      </c>
      <c r="X100" s="7">
        <f>100-(O$436-Tabell2[[#This Row],[Kvinneandel-T]])*100/O$439</f>
        <v>100</v>
      </c>
      <c r="Y100" s="7">
        <f>(P$436-Tabell2[[#This Row],[Eldreandel-T]])*100/P$439</f>
        <v>95.606353339108509</v>
      </c>
      <c r="Z100" s="7">
        <f>100-(Q$436-Tabell2[[#This Row],[Sysselsettingsvekst10-T]])*100/Q$439</f>
        <v>73.125858578749373</v>
      </c>
      <c r="AA100" s="7">
        <f>100-(R$436-Tabell2[[#This Row],[Yrkesaktivandel-T]])*100/R$439</f>
        <v>70.337854069389593</v>
      </c>
      <c r="AB100" s="7">
        <f>100-(S$436-Tabell2[[#This Row],[Inntekt-T]])*100/S$439</f>
        <v>59.623868121662412</v>
      </c>
      <c r="AC100" s="55">
        <f>Tabell2[[#This Row],[NIBR11-I]]*Vekter!$B$3</f>
        <v>6</v>
      </c>
      <c r="AD100" s="55">
        <f>Tabell2[[#This Row],[ReisetidOslo-I]]*Vekter!$C$3</f>
        <v>5.3297257769803696</v>
      </c>
      <c r="AE100" s="55">
        <f>Tabell2[[#This Row],[Beftettotal-I]]*Vekter!$D$3</f>
        <v>0.13776359071660238</v>
      </c>
      <c r="AF100" s="55">
        <f>Tabell2[[#This Row],[Befvekst10-I]]*Vekter!$E$3</f>
        <v>20</v>
      </c>
      <c r="AG100" s="55">
        <f>Tabell2[[#This Row],[Kvinneandel-I]]*Vekter!$F$3</f>
        <v>5</v>
      </c>
      <c r="AH100" s="55">
        <f>Tabell2[[#This Row],[Eldreandel-I]]*Vekter!$G$3</f>
        <v>4.7803176669554253</v>
      </c>
      <c r="AI100" s="55">
        <f>Tabell2[[#This Row],[Sysselsettingsvekst10-I]]*Vekter!$H$3</f>
        <v>7.3125858578749376</v>
      </c>
      <c r="AJ100" s="55">
        <f>Tabell2[[#This Row],[Yrkesaktivandel-I]]*Vekter!$J$3</f>
        <v>7.0337854069389598</v>
      </c>
      <c r="AK100" s="55">
        <f>Tabell2[[#This Row],[Inntekt-I]]*Vekter!$L$3</f>
        <v>5.9623868121662413</v>
      </c>
      <c r="AL100" s="56">
        <f>SUM(Tabell2[[#This Row],[NIBR11-v]:[Inntekt-v]])</f>
        <v>61.556565111632537</v>
      </c>
    </row>
    <row r="101" spans="1:38" x14ac:dyDescent="0.25">
      <c r="A101" s="2" t="s">
        <v>98</v>
      </c>
      <c r="B101">
        <f>'Rådata-K'!M100</f>
        <v>8</v>
      </c>
      <c r="C101" s="7">
        <f>'Rådata-K'!L100</f>
        <v>152.15</v>
      </c>
      <c r="D101" s="34">
        <f>'Rådata-K'!N100</f>
        <v>4.0138561446213812</v>
      </c>
      <c r="E101" s="34">
        <f>'Rådata-K'!O100</f>
        <v>9.8501070663812307E-3</v>
      </c>
      <c r="F101" s="34">
        <f>'Rådata-K'!P100</f>
        <v>9.5419847328244281E-2</v>
      </c>
      <c r="G101" s="34">
        <f>'Rådata-K'!Q100</f>
        <v>0.18002544529262088</v>
      </c>
      <c r="H101" s="34">
        <f>'Rådata-K'!R100</f>
        <v>3.2472939217318864E-2</v>
      </c>
      <c r="I101" s="34">
        <f>'Rådata-K'!S100</f>
        <v>0.97814417177914115</v>
      </c>
      <c r="J101" s="22">
        <f>'Rådata-K'!K100</f>
        <v>359700</v>
      </c>
      <c r="K101" s="22">
        <f>Tabell2[[#This Row],[NIBR11]]</f>
        <v>8</v>
      </c>
      <c r="L101" s="32">
        <f>IF(Tabell2[[#This Row],[ReisetidOslo]]&lt;=C$434,C$434,IF(Tabell2[[#This Row],[ReisetidOslo]]&gt;=C$435,C$435,Tabell2[[#This Row],[ReisetidOslo]]))</f>
        <v>152.15</v>
      </c>
      <c r="M101" s="32">
        <f>IF(Tabell2[[#This Row],[Beftettotal]]&lt;=D$434,D$434,IF(Tabell2[[#This Row],[Beftettotal]]&gt;=D$435,D$435,Tabell2[[#This Row],[Beftettotal]]))</f>
        <v>4.0138561446213812</v>
      </c>
      <c r="N101" s="34">
        <f>IF(Tabell2[[#This Row],[Befvekst10]]&lt;=E$434,E$434,IF(Tabell2[[#This Row],[Befvekst10]]&gt;=E$435,E$435,Tabell2[[#This Row],[Befvekst10]]))</f>
        <v>9.8501070663812307E-3</v>
      </c>
      <c r="O101" s="34">
        <f>IF(Tabell2[[#This Row],[Kvinneandel]]&lt;=F$434,F$434,IF(Tabell2[[#This Row],[Kvinneandel]]&gt;=F$435,F$435,Tabell2[[#This Row],[Kvinneandel]]))</f>
        <v>9.5419847328244281E-2</v>
      </c>
      <c r="P101" s="34">
        <f>IF(Tabell2[[#This Row],[Eldreandel]]&lt;=G$434,G$434,IF(Tabell2[[#This Row],[Eldreandel]]&gt;=G$435,G$435,Tabell2[[#This Row],[Eldreandel]]))</f>
        <v>0.18002544529262088</v>
      </c>
      <c r="Q101" s="34">
        <f>IF(Tabell2[[#This Row],[Sysselsettingsvekst10]]&lt;=H$434,H$434,IF(Tabell2[[#This Row],[Sysselsettingsvekst10]]&gt;=H$435,H$435,Tabell2[[#This Row],[Sysselsettingsvekst10]]))</f>
        <v>3.2472939217318864E-2</v>
      </c>
      <c r="R101" s="34">
        <f>IF(Tabell2[[#This Row],[Yrkesaktivandel]]&lt;=I$434,I$434,IF(Tabell2[[#This Row],[Yrkesaktivandel]]&gt;=I$435,I$435,Tabell2[[#This Row],[Yrkesaktivandel]]))</f>
        <v>0.96203284815106216</v>
      </c>
      <c r="S101" s="22">
        <f>IF(Tabell2[[#This Row],[Inntekt]]&lt;=J$434,J$434,IF(Tabell2[[#This Row],[Inntekt]]&gt;=J$435,J$435,Tabell2[[#This Row],[Inntekt]]))</f>
        <v>359700</v>
      </c>
      <c r="T101" s="22">
        <f>IF(Tabell2[[#This Row],[NIBR11-T]]&lt;=K$437,100,IF(Tabell2[[#This Row],[NIBR11-T]]&gt;=K$436,0,100*(K$436-Tabell2[[#This Row],[NIBR11-T]])/K$439))</f>
        <v>30</v>
      </c>
      <c r="U101" s="7">
        <f>IF(Tabell2[[#This Row],[ReisetidOslo-T]]&lt;=L$437,100,IF(Tabell2[[#This Row],[ReisetidOslo-T]]&gt;=L$436,0,100*(L$436-Tabell2[[#This Row],[ReisetidOslo-T]])/L$439))</f>
        <v>56.295429616092221</v>
      </c>
      <c r="V101" s="7">
        <f>100-(M$436-Tabell2[[#This Row],[Beftettotal-T]])*100/M$439</f>
        <v>2.0763289684041695</v>
      </c>
      <c r="W101" s="7">
        <f>100-(N$436-Tabell2[[#This Row],[Befvekst10-T]])*100/N$439</f>
        <v>34.645371022741401</v>
      </c>
      <c r="X101" s="7">
        <f>100-(O$436-Tabell2[[#This Row],[Kvinneandel-T]])*100/O$439</f>
        <v>13.026509278950797</v>
      </c>
      <c r="Y101" s="7">
        <f>(P$436-Tabell2[[#This Row],[Eldreandel-T]])*100/P$439</f>
        <v>37.649469817076799</v>
      </c>
      <c r="Z101" s="7">
        <f>100-(Q$436-Tabell2[[#This Row],[Sysselsettingsvekst10-T]])*100/Q$439</f>
        <v>30.410590240177626</v>
      </c>
      <c r="AA101" s="7">
        <f>100-(R$436-Tabell2[[#This Row],[Yrkesaktivandel-T]])*100/R$439</f>
        <v>100</v>
      </c>
      <c r="AB101" s="7">
        <f>100-(S$436-Tabell2[[#This Row],[Inntekt-T]])*100/S$439</f>
        <v>32.574878105409795</v>
      </c>
      <c r="AC101" s="55">
        <f>Tabell2[[#This Row],[NIBR11-I]]*Vekter!$B$3</f>
        <v>6</v>
      </c>
      <c r="AD101" s="55">
        <f>Tabell2[[#This Row],[ReisetidOslo-I]]*Vekter!$C$3</f>
        <v>5.6295429616092223</v>
      </c>
      <c r="AE101" s="55">
        <f>Tabell2[[#This Row],[Beftettotal-I]]*Vekter!$D$3</f>
        <v>0.20763289684041697</v>
      </c>
      <c r="AF101" s="55">
        <f>Tabell2[[#This Row],[Befvekst10-I]]*Vekter!$E$3</f>
        <v>6.9290742045482805</v>
      </c>
      <c r="AG101" s="55">
        <f>Tabell2[[#This Row],[Kvinneandel-I]]*Vekter!$F$3</f>
        <v>0.65132546394753987</v>
      </c>
      <c r="AH101" s="55">
        <f>Tabell2[[#This Row],[Eldreandel-I]]*Vekter!$G$3</f>
        <v>1.8824734908538401</v>
      </c>
      <c r="AI101" s="55">
        <f>Tabell2[[#This Row],[Sysselsettingsvekst10-I]]*Vekter!$H$3</f>
        <v>3.0410590240177626</v>
      </c>
      <c r="AJ101" s="55">
        <f>Tabell2[[#This Row],[Yrkesaktivandel-I]]*Vekter!$J$3</f>
        <v>10</v>
      </c>
      <c r="AK101" s="55">
        <f>Tabell2[[#This Row],[Inntekt-I]]*Vekter!$L$3</f>
        <v>3.2574878105409795</v>
      </c>
      <c r="AL101" s="56">
        <f>SUM(Tabell2[[#This Row],[NIBR11-v]:[Inntekt-v]])</f>
        <v>37.598595852358045</v>
      </c>
    </row>
    <row r="102" spans="1:38" x14ac:dyDescent="0.25">
      <c r="A102" s="2" t="s">
        <v>99</v>
      </c>
      <c r="B102">
        <f>'Rådata-K'!M101</f>
        <v>8</v>
      </c>
      <c r="C102" s="7">
        <f>'Rådata-K'!L101</f>
        <v>166.68333333300001</v>
      </c>
      <c r="D102" s="34">
        <f>'Rådata-K'!N101</f>
        <v>2.4107234327062539</v>
      </c>
      <c r="E102" s="34">
        <f>'Rådata-K'!O101</f>
        <v>-1.8872064955014256E-2</v>
      </c>
      <c r="F102" s="34">
        <f>'Rådata-K'!P101</f>
        <v>0.11541042272422276</v>
      </c>
      <c r="G102" s="34">
        <f>'Rådata-K'!Q101</f>
        <v>0.18452247819279805</v>
      </c>
      <c r="H102" s="34">
        <f>'Rådata-K'!R101</f>
        <v>2.6496116948378168E-2</v>
      </c>
      <c r="I102" s="34">
        <f>'Rådata-K'!S101</f>
        <v>0.96139143730886845</v>
      </c>
      <c r="J102" s="22">
        <f>'Rådata-K'!K101</f>
        <v>384100</v>
      </c>
      <c r="K102" s="22">
        <f>Tabell2[[#This Row],[NIBR11]]</f>
        <v>8</v>
      </c>
      <c r="L102" s="32">
        <f>IF(Tabell2[[#This Row],[ReisetidOslo]]&lt;=C$434,C$434,IF(Tabell2[[#This Row],[ReisetidOslo]]&gt;=C$435,C$435,Tabell2[[#This Row],[ReisetidOslo]]))</f>
        <v>166.68333333300001</v>
      </c>
      <c r="M102" s="32">
        <f>IF(Tabell2[[#This Row],[Beftettotal]]&lt;=D$434,D$434,IF(Tabell2[[#This Row],[Beftettotal]]&gt;=D$435,D$435,Tabell2[[#This Row],[Beftettotal]]))</f>
        <v>2.4107234327062539</v>
      </c>
      <c r="N102" s="34">
        <f>IF(Tabell2[[#This Row],[Befvekst10]]&lt;=E$434,E$434,IF(Tabell2[[#This Row],[Befvekst10]]&gt;=E$435,E$435,Tabell2[[#This Row],[Befvekst10]]))</f>
        <v>-1.8872064955014256E-2</v>
      </c>
      <c r="O102" s="34">
        <f>IF(Tabell2[[#This Row],[Kvinneandel]]&lt;=F$434,F$434,IF(Tabell2[[#This Row],[Kvinneandel]]&gt;=F$435,F$435,Tabell2[[#This Row],[Kvinneandel]]))</f>
        <v>0.11541042272422276</v>
      </c>
      <c r="P102" s="34">
        <f>IF(Tabell2[[#This Row],[Eldreandel]]&lt;=G$434,G$434,IF(Tabell2[[#This Row],[Eldreandel]]&gt;=G$435,G$435,Tabell2[[#This Row],[Eldreandel]]))</f>
        <v>0.18452247819279805</v>
      </c>
      <c r="Q102" s="34">
        <f>IF(Tabell2[[#This Row],[Sysselsettingsvekst10]]&lt;=H$434,H$434,IF(Tabell2[[#This Row],[Sysselsettingsvekst10]]&gt;=H$435,H$435,Tabell2[[#This Row],[Sysselsettingsvekst10]]))</f>
        <v>2.6496116948378168E-2</v>
      </c>
      <c r="R102" s="34">
        <f>IF(Tabell2[[#This Row],[Yrkesaktivandel]]&lt;=I$434,I$434,IF(Tabell2[[#This Row],[Yrkesaktivandel]]&gt;=I$435,I$435,Tabell2[[#This Row],[Yrkesaktivandel]]))</f>
        <v>0.96139143730886845</v>
      </c>
      <c r="S102" s="22">
        <f>IF(Tabell2[[#This Row],[Inntekt]]&lt;=J$434,J$434,IF(Tabell2[[#This Row],[Inntekt]]&gt;=J$435,J$435,Tabell2[[#This Row],[Inntekt]]))</f>
        <v>384100</v>
      </c>
      <c r="T102" s="22">
        <f>IF(Tabell2[[#This Row],[NIBR11-T]]&lt;=K$437,100,IF(Tabell2[[#This Row],[NIBR11-T]]&gt;=K$436,0,100*(K$436-Tabell2[[#This Row],[NIBR11-T]])/K$439))</f>
        <v>30</v>
      </c>
      <c r="U102" s="7">
        <f>IF(Tabell2[[#This Row],[ReisetidOslo-T]]&lt;=L$437,100,IF(Tabell2[[#This Row],[ReisetidOslo-T]]&gt;=L$436,0,100*(L$436-Tabell2[[#This Row],[ReisetidOslo-T]])/L$439))</f>
        <v>49.918829981869841</v>
      </c>
      <c r="V102" s="7">
        <f>100-(M$436-Tabell2[[#This Row],[Beftettotal-T]])*100/M$439</f>
        <v>0.83619234656924846</v>
      </c>
      <c r="W102" s="7">
        <f>100-(N$436-Tabell2[[#This Row],[Befvekst10-T]])*100/N$439</f>
        <v>23.080774650613264</v>
      </c>
      <c r="X102" s="7">
        <f>100-(O$436-Tabell2[[#This Row],[Kvinneandel-T]])*100/O$439</f>
        <v>65.851234323568377</v>
      </c>
      <c r="Y102" s="7">
        <f>(P$436-Tabell2[[#This Row],[Eldreandel-T]])*100/P$439</f>
        <v>32.721837299767465</v>
      </c>
      <c r="Z102" s="7">
        <f>100-(Q$436-Tabell2[[#This Row],[Sysselsettingsvekst10-T]])*100/Q$439</f>
        <v>28.632241135203884</v>
      </c>
      <c r="AA102" s="7">
        <f>100-(R$436-Tabell2[[#This Row],[Yrkesaktivandel-T]])*100/R$439</f>
        <v>99.506824495896851</v>
      </c>
      <c r="AB102" s="7">
        <f>100-(S$436-Tabell2[[#This Row],[Inntekt-T]])*100/S$439</f>
        <v>60.900859066635711</v>
      </c>
      <c r="AC102" s="55">
        <f>Tabell2[[#This Row],[NIBR11-I]]*Vekter!$B$3</f>
        <v>6</v>
      </c>
      <c r="AD102" s="55">
        <f>Tabell2[[#This Row],[ReisetidOslo-I]]*Vekter!$C$3</f>
        <v>4.9918829981869841</v>
      </c>
      <c r="AE102" s="55">
        <f>Tabell2[[#This Row],[Beftettotal-I]]*Vekter!$D$3</f>
        <v>8.3619234656924848E-2</v>
      </c>
      <c r="AF102" s="55">
        <f>Tabell2[[#This Row],[Befvekst10-I]]*Vekter!$E$3</f>
        <v>4.6161549301226534</v>
      </c>
      <c r="AG102" s="55">
        <f>Tabell2[[#This Row],[Kvinneandel-I]]*Vekter!$F$3</f>
        <v>3.2925617161784189</v>
      </c>
      <c r="AH102" s="55">
        <f>Tabell2[[#This Row],[Eldreandel-I]]*Vekter!$G$3</f>
        <v>1.6360918649883733</v>
      </c>
      <c r="AI102" s="55">
        <f>Tabell2[[#This Row],[Sysselsettingsvekst10-I]]*Vekter!$H$3</f>
        <v>2.8632241135203884</v>
      </c>
      <c r="AJ102" s="55">
        <f>Tabell2[[#This Row],[Yrkesaktivandel-I]]*Vekter!$J$3</f>
        <v>9.9506824495896851</v>
      </c>
      <c r="AK102" s="55">
        <f>Tabell2[[#This Row],[Inntekt-I]]*Vekter!$L$3</f>
        <v>6.0900859066635711</v>
      </c>
      <c r="AL102" s="56">
        <f>SUM(Tabell2[[#This Row],[NIBR11-v]:[Inntekt-v]])</f>
        <v>39.524303213907004</v>
      </c>
    </row>
    <row r="103" spans="1:38" x14ac:dyDescent="0.25">
      <c r="A103" s="2" t="s">
        <v>100</v>
      </c>
      <c r="B103">
        <f>'Rådata-K'!M102</f>
        <v>2</v>
      </c>
      <c r="C103" s="7">
        <f>'Rådata-K'!L102</f>
        <v>80.266666666700004</v>
      </c>
      <c r="D103" s="34">
        <f>'Rådata-K'!N102</f>
        <v>4.1791328299377879</v>
      </c>
      <c r="E103" s="34">
        <f>'Rådata-K'!O102</f>
        <v>-4.8063330506078472E-3</v>
      </c>
      <c r="F103" s="34">
        <f>'Rådata-K'!P102</f>
        <v>9.6306818181818188E-2</v>
      </c>
      <c r="G103" s="34">
        <f>'Rådata-K'!Q102</f>
        <v>0.18920454545454546</v>
      </c>
      <c r="H103" s="34">
        <f>'Rådata-K'!R102</f>
        <v>0.11467236467236464</v>
      </c>
      <c r="I103" s="34">
        <f>'Rådata-K'!S102</f>
        <v>0.98627351296390442</v>
      </c>
      <c r="J103" s="22">
        <f>'Rådata-K'!K102</f>
        <v>371300</v>
      </c>
      <c r="K103" s="22">
        <f>Tabell2[[#This Row],[NIBR11]]</f>
        <v>2</v>
      </c>
      <c r="L103" s="32">
        <f>IF(Tabell2[[#This Row],[ReisetidOslo]]&lt;=C$434,C$434,IF(Tabell2[[#This Row],[ReisetidOslo]]&gt;=C$435,C$435,Tabell2[[#This Row],[ReisetidOslo]]))</f>
        <v>80.266666666700004</v>
      </c>
      <c r="M103" s="32">
        <f>IF(Tabell2[[#This Row],[Beftettotal]]&lt;=D$434,D$434,IF(Tabell2[[#This Row],[Beftettotal]]&gt;=D$435,D$435,Tabell2[[#This Row],[Beftettotal]]))</f>
        <v>4.1791328299377879</v>
      </c>
      <c r="N103" s="34">
        <f>IF(Tabell2[[#This Row],[Befvekst10]]&lt;=E$434,E$434,IF(Tabell2[[#This Row],[Befvekst10]]&gt;=E$435,E$435,Tabell2[[#This Row],[Befvekst10]]))</f>
        <v>-4.8063330506078472E-3</v>
      </c>
      <c r="O103" s="34">
        <f>IF(Tabell2[[#This Row],[Kvinneandel]]&lt;=F$434,F$434,IF(Tabell2[[#This Row],[Kvinneandel]]&gt;=F$435,F$435,Tabell2[[#This Row],[Kvinneandel]]))</f>
        <v>9.6306818181818188E-2</v>
      </c>
      <c r="P103" s="34">
        <f>IF(Tabell2[[#This Row],[Eldreandel]]&lt;=G$434,G$434,IF(Tabell2[[#This Row],[Eldreandel]]&gt;=G$435,G$435,Tabell2[[#This Row],[Eldreandel]]))</f>
        <v>0.18920454545454546</v>
      </c>
      <c r="Q103" s="34">
        <f>IF(Tabell2[[#This Row],[Sysselsettingsvekst10]]&lt;=H$434,H$434,IF(Tabell2[[#This Row],[Sysselsettingsvekst10]]&gt;=H$435,H$435,Tabell2[[#This Row],[Sysselsettingsvekst10]]))</f>
        <v>0.11467236467236464</v>
      </c>
      <c r="R103" s="34">
        <f>IF(Tabell2[[#This Row],[Yrkesaktivandel]]&lt;=I$434,I$434,IF(Tabell2[[#This Row],[Yrkesaktivandel]]&gt;=I$435,I$435,Tabell2[[#This Row],[Yrkesaktivandel]]))</f>
        <v>0.96203284815106216</v>
      </c>
      <c r="S103" s="22">
        <f>IF(Tabell2[[#This Row],[Inntekt]]&lt;=J$434,J$434,IF(Tabell2[[#This Row],[Inntekt]]&gt;=J$435,J$435,Tabell2[[#This Row],[Inntekt]]))</f>
        <v>371300</v>
      </c>
      <c r="T103" s="22">
        <f>IF(Tabell2[[#This Row],[NIBR11-T]]&lt;=K$437,100,IF(Tabell2[[#This Row],[NIBR11-T]]&gt;=K$436,0,100*(K$436-Tabell2[[#This Row],[NIBR11-T]])/K$439))</f>
        <v>90</v>
      </c>
      <c r="U103" s="7">
        <f>IF(Tabell2[[#This Row],[ReisetidOslo-T]]&lt;=L$437,100,IF(Tabell2[[#This Row],[ReisetidOslo-T]]&gt;=L$436,0,100*(L$436-Tabell2[[#This Row],[ReisetidOslo-T]])/L$439))</f>
        <v>87.8347349177197</v>
      </c>
      <c r="V103" s="7">
        <f>100-(M$436-Tabell2[[#This Row],[Beftettotal-T]])*100/M$439</f>
        <v>2.204182182721965</v>
      </c>
      <c r="W103" s="7">
        <f>100-(N$436-Tabell2[[#This Row],[Befvekst10-T]])*100/N$439</f>
        <v>28.744152477048345</v>
      </c>
      <c r="X103" s="7">
        <f>100-(O$436-Tabell2[[#This Row],[Kvinneandel-T]])*100/O$439</f>
        <v>15.370313323333491</v>
      </c>
      <c r="Y103" s="7">
        <f>(P$436-Tabell2[[#This Row],[Eldreandel-T]])*100/P$439</f>
        <v>27.591453022101387</v>
      </c>
      <c r="Z103" s="7">
        <f>100-(Q$436-Tabell2[[#This Row],[Sysselsettingsvekst10-T]])*100/Q$439</f>
        <v>54.86828165371962</v>
      </c>
      <c r="AA103" s="7">
        <f>100-(R$436-Tabell2[[#This Row],[Yrkesaktivandel-T]])*100/R$439</f>
        <v>100</v>
      </c>
      <c r="AB103" s="7">
        <f>100-(S$436-Tabell2[[#This Row],[Inntekt-T]])*100/S$439</f>
        <v>46.041328070582772</v>
      </c>
      <c r="AC103" s="55">
        <f>Tabell2[[#This Row],[NIBR11-I]]*Vekter!$B$3</f>
        <v>18</v>
      </c>
      <c r="AD103" s="55">
        <f>Tabell2[[#This Row],[ReisetidOslo-I]]*Vekter!$C$3</f>
        <v>8.7834734917719697</v>
      </c>
      <c r="AE103" s="55">
        <f>Tabell2[[#This Row],[Beftettotal-I]]*Vekter!$D$3</f>
        <v>0.22041821827219651</v>
      </c>
      <c r="AF103" s="55">
        <f>Tabell2[[#This Row],[Befvekst10-I]]*Vekter!$E$3</f>
        <v>5.7488304954096696</v>
      </c>
      <c r="AG103" s="55">
        <f>Tabell2[[#This Row],[Kvinneandel-I]]*Vekter!$F$3</f>
        <v>0.76851566616667455</v>
      </c>
      <c r="AH103" s="55">
        <f>Tabell2[[#This Row],[Eldreandel-I]]*Vekter!$G$3</f>
        <v>1.3795726511050694</v>
      </c>
      <c r="AI103" s="55">
        <f>Tabell2[[#This Row],[Sysselsettingsvekst10-I]]*Vekter!$H$3</f>
        <v>5.4868281653719624</v>
      </c>
      <c r="AJ103" s="55">
        <f>Tabell2[[#This Row],[Yrkesaktivandel-I]]*Vekter!$J$3</f>
        <v>10</v>
      </c>
      <c r="AK103" s="55">
        <f>Tabell2[[#This Row],[Inntekt-I]]*Vekter!$L$3</f>
        <v>4.604132807058277</v>
      </c>
      <c r="AL103" s="56">
        <f>SUM(Tabell2[[#This Row],[NIBR11-v]:[Inntekt-v]])</f>
        <v>54.991771495155824</v>
      </c>
    </row>
    <row r="104" spans="1:38" x14ac:dyDescent="0.25">
      <c r="A104" s="2" t="s">
        <v>101</v>
      </c>
      <c r="B104">
        <f>'Rådata-K'!M103</f>
        <v>5</v>
      </c>
      <c r="C104" s="7">
        <f>'Rådata-K'!L103</f>
        <v>79.666666666699996</v>
      </c>
      <c r="D104" s="34">
        <f>'Rådata-K'!N103</f>
        <v>6.0559130597313828</v>
      </c>
      <c r="E104" s="34">
        <f>'Rådata-K'!O103</f>
        <v>5.439330543933063E-2</v>
      </c>
      <c r="F104" s="34">
        <f>'Rådata-K'!P103</f>
        <v>0.11992945326278659</v>
      </c>
      <c r="G104" s="34">
        <f>'Rådata-K'!Q103</f>
        <v>0.16534391534391535</v>
      </c>
      <c r="H104" s="34">
        <f>'Rådata-K'!R103</f>
        <v>0.26606538895152188</v>
      </c>
      <c r="I104" s="34">
        <f>'Rådata-K'!S103</f>
        <v>0.89183222958057395</v>
      </c>
      <c r="J104" s="22">
        <f>'Rådata-K'!K103</f>
        <v>380100</v>
      </c>
      <c r="K104" s="22">
        <f>Tabell2[[#This Row],[NIBR11]]</f>
        <v>5</v>
      </c>
      <c r="L104" s="32">
        <f>IF(Tabell2[[#This Row],[ReisetidOslo]]&lt;=C$434,C$434,IF(Tabell2[[#This Row],[ReisetidOslo]]&gt;=C$435,C$435,Tabell2[[#This Row],[ReisetidOslo]]))</f>
        <v>79.666666666699996</v>
      </c>
      <c r="M104" s="32">
        <f>IF(Tabell2[[#This Row],[Beftettotal]]&lt;=D$434,D$434,IF(Tabell2[[#This Row],[Beftettotal]]&gt;=D$435,D$435,Tabell2[[#This Row],[Beftettotal]]))</f>
        <v>6.0559130597313828</v>
      </c>
      <c r="N104" s="34">
        <f>IF(Tabell2[[#This Row],[Befvekst10]]&lt;=E$434,E$434,IF(Tabell2[[#This Row],[Befvekst10]]&gt;=E$435,E$435,Tabell2[[#This Row],[Befvekst10]]))</f>
        <v>5.439330543933063E-2</v>
      </c>
      <c r="O104" s="34">
        <f>IF(Tabell2[[#This Row],[Kvinneandel]]&lt;=F$434,F$434,IF(Tabell2[[#This Row],[Kvinneandel]]&gt;=F$435,F$435,Tabell2[[#This Row],[Kvinneandel]]))</f>
        <v>0.11992945326278659</v>
      </c>
      <c r="P104" s="34">
        <f>IF(Tabell2[[#This Row],[Eldreandel]]&lt;=G$434,G$434,IF(Tabell2[[#This Row],[Eldreandel]]&gt;=G$435,G$435,Tabell2[[#This Row],[Eldreandel]]))</f>
        <v>0.16534391534391535</v>
      </c>
      <c r="Q104" s="34">
        <f>IF(Tabell2[[#This Row],[Sysselsettingsvekst10]]&lt;=H$434,H$434,IF(Tabell2[[#This Row],[Sysselsettingsvekst10]]&gt;=H$435,H$435,Tabell2[[#This Row],[Sysselsettingsvekst10]]))</f>
        <v>0.26606538895152188</v>
      </c>
      <c r="R104" s="34">
        <f>IF(Tabell2[[#This Row],[Yrkesaktivandel]]&lt;=I$434,I$434,IF(Tabell2[[#This Row],[Yrkesaktivandel]]&gt;=I$435,I$435,Tabell2[[#This Row],[Yrkesaktivandel]]))</f>
        <v>0.89183222958057395</v>
      </c>
      <c r="S104" s="22">
        <f>IF(Tabell2[[#This Row],[Inntekt]]&lt;=J$434,J$434,IF(Tabell2[[#This Row],[Inntekt]]&gt;=J$435,J$435,Tabell2[[#This Row],[Inntekt]]))</f>
        <v>380100</v>
      </c>
      <c r="T104" s="22">
        <f>IF(Tabell2[[#This Row],[NIBR11-T]]&lt;=K$437,100,IF(Tabell2[[#This Row],[NIBR11-T]]&gt;=K$436,0,100*(K$436-Tabell2[[#This Row],[NIBR11-T]])/K$439))</f>
        <v>60</v>
      </c>
      <c r="U104" s="7">
        <f>IF(Tabell2[[#This Row],[ReisetidOslo-T]]&lt;=L$437,100,IF(Tabell2[[#This Row],[ReisetidOslo-T]]&gt;=L$436,0,100*(L$436-Tabell2[[#This Row],[ReisetidOslo-T]])/L$439))</f>
        <v>88.097989031065211</v>
      </c>
      <c r="V104" s="7">
        <f>100-(M$436-Tabell2[[#This Row],[Beftettotal-T]])*100/M$439</f>
        <v>3.6560045283107883</v>
      </c>
      <c r="W104" s="7">
        <f>100-(N$436-Tabell2[[#This Row],[Befvekst10-T]])*100/N$439</f>
        <v>52.580090929128424</v>
      </c>
      <c r="X104" s="7">
        <f>100-(O$436-Tabell2[[#This Row],[Kvinneandel-T]])*100/O$439</f>
        <v>77.79268878094669</v>
      </c>
      <c r="Y104" s="7">
        <f>(P$436-Tabell2[[#This Row],[Eldreandel-T]])*100/P$439</f>
        <v>53.736784716694736</v>
      </c>
      <c r="Z104" s="7">
        <f>100-(Q$436-Tabell2[[#This Row],[Sysselsettingsvekst10-T]])*100/Q$439</f>
        <v>99.91389905900779</v>
      </c>
      <c r="AA104" s="7">
        <f>100-(R$436-Tabell2[[#This Row],[Yrkesaktivandel-T]])*100/R$439</f>
        <v>46.023323626018296</v>
      </c>
      <c r="AB104" s="7">
        <f>100-(S$436-Tabell2[[#This Row],[Inntekt-T]])*100/S$439</f>
        <v>56.257255630369166</v>
      </c>
      <c r="AC104" s="55">
        <f>Tabell2[[#This Row],[NIBR11-I]]*Vekter!$B$3</f>
        <v>12</v>
      </c>
      <c r="AD104" s="55">
        <f>Tabell2[[#This Row],[ReisetidOslo-I]]*Vekter!$C$3</f>
        <v>8.8097989031065218</v>
      </c>
      <c r="AE104" s="55">
        <f>Tabell2[[#This Row],[Beftettotal-I]]*Vekter!$D$3</f>
        <v>0.36560045283107884</v>
      </c>
      <c r="AF104" s="55">
        <f>Tabell2[[#This Row],[Befvekst10-I]]*Vekter!$E$3</f>
        <v>10.516018185825686</v>
      </c>
      <c r="AG104" s="55">
        <f>Tabell2[[#This Row],[Kvinneandel-I]]*Vekter!$F$3</f>
        <v>3.8896344390473345</v>
      </c>
      <c r="AH104" s="55">
        <f>Tabell2[[#This Row],[Eldreandel-I]]*Vekter!$G$3</f>
        <v>2.686839235834737</v>
      </c>
      <c r="AI104" s="55">
        <f>Tabell2[[#This Row],[Sysselsettingsvekst10-I]]*Vekter!$H$3</f>
        <v>9.99138990590078</v>
      </c>
      <c r="AJ104" s="55">
        <f>Tabell2[[#This Row],[Yrkesaktivandel-I]]*Vekter!$J$3</f>
        <v>4.60233236260183</v>
      </c>
      <c r="AK104" s="55">
        <f>Tabell2[[#This Row],[Inntekt-I]]*Vekter!$L$3</f>
        <v>5.6257255630369167</v>
      </c>
      <c r="AL104" s="56">
        <f>SUM(Tabell2[[#This Row],[NIBR11-v]:[Inntekt-v]])</f>
        <v>58.487339048184886</v>
      </c>
    </row>
    <row r="105" spans="1:38" x14ac:dyDescent="0.25">
      <c r="A105" s="2" t="s">
        <v>102</v>
      </c>
      <c r="B105">
        <f>'Rådata-K'!M104</f>
        <v>2</v>
      </c>
      <c r="C105" s="7">
        <f>'Rådata-K'!L104</f>
        <v>64.316666666700002</v>
      </c>
      <c r="D105" s="34">
        <f>'Rådata-K'!N104</f>
        <v>26.460295055975557</v>
      </c>
      <c r="E105" s="34">
        <f>'Rådata-K'!O104</f>
        <v>9.1220795789809461E-2</v>
      </c>
      <c r="F105" s="34">
        <f>'Rådata-K'!P104</f>
        <v>0.11260504201680673</v>
      </c>
      <c r="G105" s="34">
        <f>'Rådata-K'!Q104</f>
        <v>0.16302521008403362</v>
      </c>
      <c r="H105" s="34">
        <f>'Rådata-K'!R104</f>
        <v>3.0385664199454654E-2</v>
      </c>
      <c r="I105" s="34">
        <f>'Rådata-K'!S104</f>
        <v>0.83723536737235371</v>
      </c>
      <c r="J105" s="22">
        <f>'Rådata-K'!K104</f>
        <v>367300</v>
      </c>
      <c r="K105" s="22">
        <f>Tabell2[[#This Row],[NIBR11]]</f>
        <v>2</v>
      </c>
      <c r="L105" s="32">
        <f>IF(Tabell2[[#This Row],[ReisetidOslo]]&lt;=C$434,C$434,IF(Tabell2[[#This Row],[ReisetidOslo]]&gt;=C$435,C$435,Tabell2[[#This Row],[ReisetidOslo]]))</f>
        <v>64.316666666700002</v>
      </c>
      <c r="M105" s="32">
        <f>IF(Tabell2[[#This Row],[Beftettotal]]&lt;=D$434,D$434,IF(Tabell2[[#This Row],[Beftettotal]]&gt;=D$435,D$435,Tabell2[[#This Row],[Beftettotal]]))</f>
        <v>26.460295055975557</v>
      </c>
      <c r="N105" s="34">
        <f>IF(Tabell2[[#This Row],[Befvekst10]]&lt;=E$434,E$434,IF(Tabell2[[#This Row],[Befvekst10]]&gt;=E$435,E$435,Tabell2[[#This Row],[Befvekst10]]))</f>
        <v>9.1220795789809461E-2</v>
      </c>
      <c r="O105" s="34">
        <f>IF(Tabell2[[#This Row],[Kvinneandel]]&lt;=F$434,F$434,IF(Tabell2[[#This Row],[Kvinneandel]]&gt;=F$435,F$435,Tabell2[[#This Row],[Kvinneandel]]))</f>
        <v>0.11260504201680673</v>
      </c>
      <c r="P105" s="34">
        <f>IF(Tabell2[[#This Row],[Eldreandel]]&lt;=G$434,G$434,IF(Tabell2[[#This Row],[Eldreandel]]&gt;=G$435,G$435,Tabell2[[#This Row],[Eldreandel]]))</f>
        <v>0.16302521008403362</v>
      </c>
      <c r="Q105" s="34">
        <f>IF(Tabell2[[#This Row],[Sysselsettingsvekst10]]&lt;=H$434,H$434,IF(Tabell2[[#This Row],[Sysselsettingsvekst10]]&gt;=H$435,H$435,Tabell2[[#This Row],[Sysselsettingsvekst10]]))</f>
        <v>3.0385664199454654E-2</v>
      </c>
      <c r="R105" s="34">
        <f>IF(Tabell2[[#This Row],[Yrkesaktivandel]]&lt;=I$434,I$434,IF(Tabell2[[#This Row],[Yrkesaktivandel]]&gt;=I$435,I$435,Tabell2[[#This Row],[Yrkesaktivandel]]))</f>
        <v>0.83723536737235371</v>
      </c>
      <c r="S105" s="22">
        <f>IF(Tabell2[[#This Row],[Inntekt]]&lt;=J$434,J$434,IF(Tabell2[[#This Row],[Inntekt]]&gt;=J$435,J$435,Tabell2[[#This Row],[Inntekt]]))</f>
        <v>367300</v>
      </c>
      <c r="T105" s="22">
        <f>IF(Tabell2[[#This Row],[NIBR11-T]]&lt;=K$437,100,IF(Tabell2[[#This Row],[NIBR11-T]]&gt;=K$436,0,100*(K$436-Tabell2[[#This Row],[NIBR11-T]])/K$439))</f>
        <v>90</v>
      </c>
      <c r="U105" s="7">
        <f>IF(Tabell2[[#This Row],[ReisetidOslo-T]]&lt;=L$437,100,IF(Tabell2[[#This Row],[ReisetidOslo-T]]&gt;=L$436,0,100*(L$436-Tabell2[[#This Row],[ReisetidOslo-T]])/L$439))</f>
        <v>94.832906764154089</v>
      </c>
      <c r="V105" s="7">
        <f>100-(M$436-Tabell2[[#This Row],[Beftettotal-T]])*100/M$439</f>
        <v>19.440238217374869</v>
      </c>
      <c r="W105" s="7">
        <f>100-(N$436-Tabell2[[#This Row],[Befvekst10-T]])*100/N$439</f>
        <v>67.408184744055688</v>
      </c>
      <c r="X105" s="7">
        <f>100-(O$436-Tabell2[[#This Row],[Kvinneandel-T]])*100/O$439</f>
        <v>58.43806778987576</v>
      </c>
      <c r="Y105" s="7">
        <f>(P$436-Tabell2[[#This Row],[Eldreandel-T]])*100/P$439</f>
        <v>56.27751049973255</v>
      </c>
      <c r="Z105" s="7">
        <f>100-(Q$436-Tabell2[[#This Row],[Sysselsettingsvekst10-T]])*100/Q$439</f>
        <v>29.789540543059772</v>
      </c>
      <c r="AA105" s="7">
        <f>100-(R$436-Tabell2[[#This Row],[Yrkesaktivandel-T]])*100/R$439</f>
        <v>4.0442467680423704</v>
      </c>
      <c r="AB105" s="7">
        <f>100-(S$436-Tabell2[[#This Row],[Inntekt-T]])*100/S$439</f>
        <v>41.397724634316226</v>
      </c>
      <c r="AC105" s="55">
        <f>Tabell2[[#This Row],[NIBR11-I]]*Vekter!$B$3</f>
        <v>18</v>
      </c>
      <c r="AD105" s="55">
        <f>Tabell2[[#This Row],[ReisetidOslo-I]]*Vekter!$C$3</f>
        <v>9.4832906764154092</v>
      </c>
      <c r="AE105" s="55">
        <f>Tabell2[[#This Row],[Beftettotal-I]]*Vekter!$D$3</f>
        <v>1.944023821737487</v>
      </c>
      <c r="AF105" s="55">
        <f>Tabell2[[#This Row],[Befvekst10-I]]*Vekter!$E$3</f>
        <v>13.481636948811138</v>
      </c>
      <c r="AG105" s="55">
        <f>Tabell2[[#This Row],[Kvinneandel-I]]*Vekter!$F$3</f>
        <v>2.9219033894937883</v>
      </c>
      <c r="AH105" s="55">
        <f>Tabell2[[#This Row],[Eldreandel-I]]*Vekter!$G$3</f>
        <v>2.8138755249866279</v>
      </c>
      <c r="AI105" s="55">
        <f>Tabell2[[#This Row],[Sysselsettingsvekst10-I]]*Vekter!$H$3</f>
        <v>2.9789540543059774</v>
      </c>
      <c r="AJ105" s="55">
        <f>Tabell2[[#This Row],[Yrkesaktivandel-I]]*Vekter!$J$3</f>
        <v>0.40442467680423705</v>
      </c>
      <c r="AK105" s="55">
        <f>Tabell2[[#This Row],[Inntekt-I]]*Vekter!$L$3</f>
        <v>4.1397724634316226</v>
      </c>
      <c r="AL105" s="56">
        <f>SUM(Tabell2[[#This Row],[NIBR11-v]:[Inntekt-v]])</f>
        <v>56.167881555986284</v>
      </c>
    </row>
    <row r="106" spans="1:38" x14ac:dyDescent="0.25">
      <c r="A106" s="2" t="s">
        <v>103</v>
      </c>
      <c r="B106">
        <f>'Rådata-K'!M105</f>
        <v>2</v>
      </c>
      <c r="C106" s="7">
        <f>'Rådata-K'!L105</f>
        <v>44.916666666700003</v>
      </c>
      <c r="D106" s="34">
        <f>'Rådata-K'!N105</f>
        <v>39.498576746222902</v>
      </c>
      <c r="E106" s="34">
        <f>'Rådata-K'!O105</f>
        <v>0.15390520053732493</v>
      </c>
      <c r="F106" s="34">
        <f>'Rådata-K'!P105</f>
        <v>0.12195797993236876</v>
      </c>
      <c r="G106" s="34">
        <f>'Rådata-K'!Q105</f>
        <v>0.14341149731138089</v>
      </c>
      <c r="H106" s="34">
        <f>'Rådata-K'!R105</f>
        <v>0.24261363636363642</v>
      </c>
      <c r="I106" s="34">
        <f>'Rådata-K'!S105</f>
        <v>0.85633961203261177</v>
      </c>
      <c r="J106" s="22">
        <f>'Rådata-K'!K105</f>
        <v>385300</v>
      </c>
      <c r="K106" s="22">
        <f>Tabell2[[#This Row],[NIBR11]]</f>
        <v>2</v>
      </c>
      <c r="L106" s="32">
        <f>IF(Tabell2[[#This Row],[ReisetidOslo]]&lt;=C$434,C$434,IF(Tabell2[[#This Row],[ReisetidOslo]]&gt;=C$435,C$435,Tabell2[[#This Row],[ReisetidOslo]]))</f>
        <v>52.54</v>
      </c>
      <c r="M106" s="32">
        <f>IF(Tabell2[[#This Row],[Beftettotal]]&lt;=D$434,D$434,IF(Tabell2[[#This Row],[Beftettotal]]&gt;=D$435,D$435,Tabell2[[#This Row],[Beftettotal]]))</f>
        <v>39.498576746222902</v>
      </c>
      <c r="N106" s="34">
        <f>IF(Tabell2[[#This Row],[Befvekst10]]&lt;=E$434,E$434,IF(Tabell2[[#This Row],[Befvekst10]]&gt;=E$435,E$435,Tabell2[[#This Row],[Befvekst10]]))</f>
        <v>0.15390520053732493</v>
      </c>
      <c r="O106" s="34">
        <f>IF(Tabell2[[#This Row],[Kvinneandel]]&lt;=F$434,F$434,IF(Tabell2[[#This Row],[Kvinneandel]]&gt;=F$435,F$435,Tabell2[[#This Row],[Kvinneandel]]))</f>
        <v>0.12195797993236876</v>
      </c>
      <c r="P106" s="34">
        <f>IF(Tabell2[[#This Row],[Eldreandel]]&lt;=G$434,G$434,IF(Tabell2[[#This Row],[Eldreandel]]&gt;=G$435,G$435,Tabell2[[#This Row],[Eldreandel]]))</f>
        <v>0.14341149731138089</v>
      </c>
      <c r="Q106" s="34">
        <f>IF(Tabell2[[#This Row],[Sysselsettingsvekst10]]&lt;=H$434,H$434,IF(Tabell2[[#This Row],[Sysselsettingsvekst10]]&gt;=H$435,H$435,Tabell2[[#This Row],[Sysselsettingsvekst10]]))</f>
        <v>0.24261363636363642</v>
      </c>
      <c r="R106" s="34">
        <f>IF(Tabell2[[#This Row],[Yrkesaktivandel]]&lt;=I$434,I$434,IF(Tabell2[[#This Row],[Yrkesaktivandel]]&gt;=I$435,I$435,Tabell2[[#This Row],[Yrkesaktivandel]]))</f>
        <v>0.85633961203261177</v>
      </c>
      <c r="S106" s="22">
        <f>IF(Tabell2[[#This Row],[Inntekt]]&lt;=J$434,J$434,IF(Tabell2[[#This Row],[Inntekt]]&gt;=J$435,J$435,Tabell2[[#This Row],[Inntekt]]))</f>
        <v>385300</v>
      </c>
      <c r="T106" s="22">
        <f>IF(Tabell2[[#This Row],[NIBR11-T]]&lt;=K$437,100,IF(Tabell2[[#This Row],[NIBR11-T]]&gt;=K$436,0,100*(K$436-Tabell2[[#This Row],[NIBR11-T]])/K$439))</f>
        <v>90</v>
      </c>
      <c r="U106" s="7">
        <f>IF(Tabell2[[#This Row],[ReisetidOslo-T]]&lt;=L$437,100,IF(Tabell2[[#This Row],[ReisetidOslo-T]]&gt;=L$436,0,100*(L$436-Tabell2[[#This Row],[ReisetidOslo-T]])/L$439))</f>
        <v>100</v>
      </c>
      <c r="V106" s="7">
        <f>100-(M$436-Tabell2[[#This Row],[Beftettotal-T]])*100/M$439</f>
        <v>29.526271949765842</v>
      </c>
      <c r="W106" s="7">
        <f>100-(N$436-Tabell2[[#This Row],[Befvekst10-T]])*100/N$439</f>
        <v>92.647217474314644</v>
      </c>
      <c r="X106" s="7">
        <f>100-(O$436-Tabell2[[#This Row],[Kvinneandel-T]])*100/O$439</f>
        <v>83.153032915308557</v>
      </c>
      <c r="Y106" s="7">
        <f>(P$436-Tabell2[[#This Row],[Eldreandel-T]])*100/P$439</f>
        <v>77.769274289114946</v>
      </c>
      <c r="Z106" s="7">
        <f>100-(Q$436-Tabell2[[#This Row],[Sysselsettingsvekst10-T]])*100/Q$439</f>
        <v>92.936043377827616</v>
      </c>
      <c r="AA106" s="7">
        <f>100-(R$436-Tabell2[[#This Row],[Yrkesaktivandel-T]])*100/R$439</f>
        <v>18.733342852868304</v>
      </c>
      <c r="AB106" s="7">
        <f>100-(S$436-Tabell2[[#This Row],[Inntekt-T]])*100/S$439</f>
        <v>62.293940097515673</v>
      </c>
      <c r="AC106" s="55">
        <f>Tabell2[[#This Row],[NIBR11-I]]*Vekter!$B$3</f>
        <v>18</v>
      </c>
      <c r="AD106" s="55">
        <f>Tabell2[[#This Row],[ReisetidOslo-I]]*Vekter!$C$3</f>
        <v>10</v>
      </c>
      <c r="AE106" s="55">
        <f>Tabell2[[#This Row],[Beftettotal-I]]*Vekter!$D$3</f>
        <v>2.9526271949765843</v>
      </c>
      <c r="AF106" s="55">
        <f>Tabell2[[#This Row],[Befvekst10-I]]*Vekter!$E$3</f>
        <v>18.529443494862928</v>
      </c>
      <c r="AG106" s="55">
        <f>Tabell2[[#This Row],[Kvinneandel-I]]*Vekter!$F$3</f>
        <v>4.1576516457654282</v>
      </c>
      <c r="AH106" s="55">
        <f>Tabell2[[#This Row],[Eldreandel-I]]*Vekter!$G$3</f>
        <v>3.8884637144557477</v>
      </c>
      <c r="AI106" s="55">
        <f>Tabell2[[#This Row],[Sysselsettingsvekst10-I]]*Vekter!$H$3</f>
        <v>9.293604337782762</v>
      </c>
      <c r="AJ106" s="55">
        <f>Tabell2[[#This Row],[Yrkesaktivandel-I]]*Vekter!$J$3</f>
        <v>1.8733342852868304</v>
      </c>
      <c r="AK106" s="55">
        <f>Tabell2[[#This Row],[Inntekt-I]]*Vekter!$L$3</f>
        <v>6.2293940097515677</v>
      </c>
      <c r="AL106" s="56">
        <f>SUM(Tabell2[[#This Row],[NIBR11-v]:[Inntekt-v]])</f>
        <v>74.924518682881853</v>
      </c>
    </row>
    <row r="107" spans="1:38" x14ac:dyDescent="0.25">
      <c r="A107" s="2" t="s">
        <v>104</v>
      </c>
      <c r="B107">
        <f>'Rådata-K'!M106</f>
        <v>2</v>
      </c>
      <c r="C107" s="7">
        <f>'Rådata-K'!L106</f>
        <v>39.316666666700002</v>
      </c>
      <c r="D107" s="34">
        <f>'Rådata-K'!N106</f>
        <v>198.37385019710905</v>
      </c>
      <c r="E107" s="34">
        <f>'Rådata-K'!O106</f>
        <v>0.1222934671498932</v>
      </c>
      <c r="F107" s="34">
        <f>'Rådata-K'!P106</f>
        <v>0.12544506085948498</v>
      </c>
      <c r="G107" s="34">
        <f>'Rådata-K'!Q106</f>
        <v>0.12867433965388755</v>
      </c>
      <c r="H107" s="34">
        <f>'Rådata-K'!R106</f>
        <v>0.18817546090273374</v>
      </c>
      <c r="I107" s="34">
        <f>'Rådata-K'!S106</f>
        <v>0.85935302390998591</v>
      </c>
      <c r="J107" s="22">
        <f>'Rådata-K'!K106</f>
        <v>380800</v>
      </c>
      <c r="K107" s="22">
        <f>Tabell2[[#This Row],[NIBR11]]</f>
        <v>2</v>
      </c>
      <c r="L107" s="32">
        <f>IF(Tabell2[[#This Row],[ReisetidOslo]]&lt;=C$434,C$434,IF(Tabell2[[#This Row],[ReisetidOslo]]&gt;=C$435,C$435,Tabell2[[#This Row],[ReisetidOslo]]))</f>
        <v>52.54</v>
      </c>
      <c r="M107" s="32">
        <f>IF(Tabell2[[#This Row],[Beftettotal]]&lt;=D$434,D$434,IF(Tabell2[[#This Row],[Beftettotal]]&gt;=D$435,D$435,Tabell2[[#This Row],[Beftettotal]]))</f>
        <v>130.60042534801397</v>
      </c>
      <c r="N107" s="34">
        <f>IF(Tabell2[[#This Row],[Befvekst10]]&lt;=E$434,E$434,IF(Tabell2[[#This Row],[Befvekst10]]&gt;=E$435,E$435,Tabell2[[#This Row],[Befvekst10]]))</f>
        <v>0.1222934671498932</v>
      </c>
      <c r="O107" s="34">
        <f>IF(Tabell2[[#This Row],[Kvinneandel]]&lt;=F$434,F$434,IF(Tabell2[[#This Row],[Kvinneandel]]&gt;=F$435,F$435,Tabell2[[#This Row],[Kvinneandel]]))</f>
        <v>0.12544506085948498</v>
      </c>
      <c r="P107" s="34">
        <f>IF(Tabell2[[#This Row],[Eldreandel]]&lt;=G$434,G$434,IF(Tabell2[[#This Row],[Eldreandel]]&gt;=G$435,G$435,Tabell2[[#This Row],[Eldreandel]]))</f>
        <v>0.12867433965388755</v>
      </c>
      <c r="Q107" s="34">
        <f>IF(Tabell2[[#This Row],[Sysselsettingsvekst10]]&lt;=H$434,H$434,IF(Tabell2[[#This Row],[Sysselsettingsvekst10]]&gt;=H$435,H$435,Tabell2[[#This Row],[Sysselsettingsvekst10]]))</f>
        <v>0.18817546090273374</v>
      </c>
      <c r="R107" s="34">
        <f>IF(Tabell2[[#This Row],[Yrkesaktivandel]]&lt;=I$434,I$434,IF(Tabell2[[#This Row],[Yrkesaktivandel]]&gt;=I$435,I$435,Tabell2[[#This Row],[Yrkesaktivandel]]))</f>
        <v>0.85935302390998591</v>
      </c>
      <c r="S107" s="22">
        <f>IF(Tabell2[[#This Row],[Inntekt]]&lt;=J$434,J$434,IF(Tabell2[[#This Row],[Inntekt]]&gt;=J$435,J$435,Tabell2[[#This Row],[Inntekt]]))</f>
        <v>380800</v>
      </c>
      <c r="T107" s="22">
        <f>IF(Tabell2[[#This Row],[NIBR11-T]]&lt;=K$437,100,IF(Tabell2[[#This Row],[NIBR11-T]]&gt;=K$436,0,100*(K$436-Tabell2[[#This Row],[NIBR11-T]])/K$439))</f>
        <v>90</v>
      </c>
      <c r="U107" s="7">
        <f>IF(Tabell2[[#This Row],[ReisetidOslo-T]]&lt;=L$437,100,IF(Tabell2[[#This Row],[ReisetidOslo-T]]&gt;=L$436,0,100*(L$436-Tabell2[[#This Row],[ReisetidOslo-T]])/L$439))</f>
        <v>100</v>
      </c>
      <c r="V107" s="7">
        <f>100-(M$436-Tabell2[[#This Row],[Beftettotal-T]])*100/M$439</f>
        <v>100</v>
      </c>
      <c r="W107" s="7">
        <f>100-(N$436-Tabell2[[#This Row],[Befvekst10-T]])*100/N$439</f>
        <v>79.919178070586668</v>
      </c>
      <c r="X107" s="7">
        <f>100-(O$436-Tabell2[[#This Row],[Kvinneandel-T]])*100/O$439</f>
        <v>92.367579647180065</v>
      </c>
      <c r="Y107" s="7">
        <f>(P$436-Tabell2[[#This Row],[Eldreandel-T]])*100/P$439</f>
        <v>93.917543358464542</v>
      </c>
      <c r="Z107" s="7">
        <f>100-(Q$436-Tabell2[[#This Row],[Sysselsettingsvekst10-T]])*100/Q$439</f>
        <v>76.738459402412104</v>
      </c>
      <c r="AA107" s="7">
        <f>100-(R$436-Tabell2[[#This Row],[Yrkesaktivandel-T]])*100/R$439</f>
        <v>21.050330380880141</v>
      </c>
      <c r="AB107" s="7">
        <f>100-(S$436-Tabell2[[#This Row],[Inntekt-T]])*100/S$439</f>
        <v>57.069886231715813</v>
      </c>
      <c r="AC107" s="55">
        <f>Tabell2[[#This Row],[NIBR11-I]]*Vekter!$B$3</f>
        <v>18</v>
      </c>
      <c r="AD107" s="55">
        <f>Tabell2[[#This Row],[ReisetidOslo-I]]*Vekter!$C$3</f>
        <v>10</v>
      </c>
      <c r="AE107" s="55">
        <f>Tabell2[[#This Row],[Beftettotal-I]]*Vekter!$D$3</f>
        <v>10</v>
      </c>
      <c r="AF107" s="55">
        <f>Tabell2[[#This Row],[Befvekst10-I]]*Vekter!$E$3</f>
        <v>15.983835614117334</v>
      </c>
      <c r="AG107" s="55">
        <f>Tabell2[[#This Row],[Kvinneandel-I]]*Vekter!$F$3</f>
        <v>4.6183789823590038</v>
      </c>
      <c r="AH107" s="55">
        <f>Tabell2[[#This Row],[Eldreandel-I]]*Vekter!$G$3</f>
        <v>4.6958771679232276</v>
      </c>
      <c r="AI107" s="55">
        <f>Tabell2[[#This Row],[Sysselsettingsvekst10-I]]*Vekter!$H$3</f>
        <v>7.6738459402412111</v>
      </c>
      <c r="AJ107" s="55">
        <f>Tabell2[[#This Row],[Yrkesaktivandel-I]]*Vekter!$J$3</f>
        <v>2.1050330380880142</v>
      </c>
      <c r="AK107" s="55">
        <f>Tabell2[[#This Row],[Inntekt-I]]*Vekter!$L$3</f>
        <v>5.7069886231715818</v>
      </c>
      <c r="AL107" s="56">
        <f>SUM(Tabell2[[#This Row],[NIBR11-v]:[Inntekt-v]])</f>
        <v>78.783959365900373</v>
      </c>
    </row>
    <row r="108" spans="1:38" x14ac:dyDescent="0.25">
      <c r="A108" s="2" t="s">
        <v>105</v>
      </c>
      <c r="B108">
        <f>'Rådata-K'!M107</f>
        <v>2</v>
      </c>
      <c r="C108" s="7">
        <f>'Rådata-K'!L107</f>
        <v>28.833333333300001</v>
      </c>
      <c r="D108" s="34">
        <f>'Rådata-K'!N107</f>
        <v>84.144562334217497</v>
      </c>
      <c r="E108" s="34">
        <f>'Rådata-K'!O107</f>
        <v>0.16814729574223253</v>
      </c>
      <c r="F108" s="34">
        <f>'Rådata-K'!P107</f>
        <v>0.11718811569075577</v>
      </c>
      <c r="G108" s="34">
        <f>'Rådata-K'!Q107</f>
        <v>0.1344077547482071</v>
      </c>
      <c r="H108" s="34">
        <f>'Rådata-K'!R107</f>
        <v>0.31781140861466817</v>
      </c>
      <c r="I108" s="34">
        <f>'Rådata-K'!S107</f>
        <v>0.89401294498381878</v>
      </c>
      <c r="J108" s="22">
        <f>'Rådata-K'!K107</f>
        <v>437500</v>
      </c>
      <c r="K108" s="22">
        <f>Tabell2[[#This Row],[NIBR11]]</f>
        <v>2</v>
      </c>
      <c r="L108" s="32">
        <f>IF(Tabell2[[#This Row],[ReisetidOslo]]&lt;=C$434,C$434,IF(Tabell2[[#This Row],[ReisetidOslo]]&gt;=C$435,C$435,Tabell2[[#This Row],[ReisetidOslo]]))</f>
        <v>52.54</v>
      </c>
      <c r="M108" s="32">
        <f>IF(Tabell2[[#This Row],[Beftettotal]]&lt;=D$434,D$434,IF(Tabell2[[#This Row],[Beftettotal]]&gt;=D$435,D$435,Tabell2[[#This Row],[Beftettotal]]))</f>
        <v>84.144562334217497</v>
      </c>
      <c r="N108" s="34">
        <f>IF(Tabell2[[#This Row],[Befvekst10]]&lt;=E$434,E$434,IF(Tabell2[[#This Row],[Befvekst10]]&gt;=E$435,E$435,Tabell2[[#This Row],[Befvekst10]]))</f>
        <v>0.16814729574223253</v>
      </c>
      <c r="O108" s="34">
        <f>IF(Tabell2[[#This Row],[Kvinneandel]]&lt;=F$434,F$434,IF(Tabell2[[#This Row],[Kvinneandel]]&gt;=F$435,F$435,Tabell2[[#This Row],[Kvinneandel]]))</f>
        <v>0.11718811569075577</v>
      </c>
      <c r="P108" s="34">
        <f>IF(Tabell2[[#This Row],[Eldreandel]]&lt;=G$434,G$434,IF(Tabell2[[#This Row],[Eldreandel]]&gt;=G$435,G$435,Tabell2[[#This Row],[Eldreandel]]))</f>
        <v>0.1344077547482071</v>
      </c>
      <c r="Q108" s="34">
        <f>IF(Tabell2[[#This Row],[Sysselsettingsvekst10]]&lt;=H$434,H$434,IF(Tabell2[[#This Row],[Sysselsettingsvekst10]]&gt;=H$435,H$435,Tabell2[[#This Row],[Sysselsettingsvekst10]]))</f>
        <v>0.26635476409167841</v>
      </c>
      <c r="R108" s="34">
        <f>IF(Tabell2[[#This Row],[Yrkesaktivandel]]&lt;=I$434,I$434,IF(Tabell2[[#This Row],[Yrkesaktivandel]]&gt;=I$435,I$435,Tabell2[[#This Row],[Yrkesaktivandel]]))</f>
        <v>0.89401294498381878</v>
      </c>
      <c r="S108" s="22">
        <f>IF(Tabell2[[#This Row],[Inntekt]]&lt;=J$434,J$434,IF(Tabell2[[#This Row],[Inntekt]]&gt;=J$435,J$435,Tabell2[[#This Row],[Inntekt]]))</f>
        <v>417780</v>
      </c>
      <c r="T108" s="22">
        <f>IF(Tabell2[[#This Row],[NIBR11-T]]&lt;=K$437,100,IF(Tabell2[[#This Row],[NIBR11-T]]&gt;=K$436,0,100*(K$436-Tabell2[[#This Row],[NIBR11-T]])/K$439))</f>
        <v>90</v>
      </c>
      <c r="U108" s="7">
        <f>IF(Tabell2[[#This Row],[ReisetidOslo-T]]&lt;=L$437,100,IF(Tabell2[[#This Row],[ReisetidOslo-T]]&gt;=L$436,0,100*(L$436-Tabell2[[#This Row],[ReisetidOslo-T]])/L$439))</f>
        <v>100</v>
      </c>
      <c r="V108" s="7">
        <f>100-(M$436-Tabell2[[#This Row],[Beftettotal-T]])*100/M$439</f>
        <v>64.063101829210751</v>
      </c>
      <c r="W108" s="7">
        <f>100-(N$436-Tabell2[[#This Row],[Befvekst10-T]])*100/N$439</f>
        <v>98.381605612352658</v>
      </c>
      <c r="X108" s="7">
        <f>100-(O$436-Tabell2[[#This Row],[Kvinneandel-T]])*100/O$439</f>
        <v>70.548755045745679</v>
      </c>
      <c r="Y108" s="7">
        <f>(P$436-Tabell2[[#This Row],[Eldreandel-T]])*100/P$439</f>
        <v>87.635142655350251</v>
      </c>
      <c r="Z108" s="7">
        <f>100-(Q$436-Tabell2[[#This Row],[Sysselsettingsvekst10-T]])*100/Q$439</f>
        <v>100</v>
      </c>
      <c r="AA108" s="7">
        <f>100-(R$436-Tabell2[[#This Row],[Yrkesaktivandel-T]])*100/R$439</f>
        <v>47.700057705882756</v>
      </c>
      <c r="AB108" s="7">
        <f>100-(S$436-Tabell2[[#This Row],[Inntekt-T]])*100/S$439</f>
        <v>100</v>
      </c>
      <c r="AC108" s="55">
        <f>Tabell2[[#This Row],[NIBR11-I]]*Vekter!$B$3</f>
        <v>18</v>
      </c>
      <c r="AD108" s="55">
        <f>Tabell2[[#This Row],[ReisetidOslo-I]]*Vekter!$C$3</f>
        <v>10</v>
      </c>
      <c r="AE108" s="55">
        <f>Tabell2[[#This Row],[Beftettotal-I]]*Vekter!$D$3</f>
        <v>6.4063101829210751</v>
      </c>
      <c r="AF108" s="55">
        <f>Tabell2[[#This Row],[Befvekst10-I]]*Vekter!$E$3</f>
        <v>19.676321122470533</v>
      </c>
      <c r="AG108" s="55">
        <f>Tabell2[[#This Row],[Kvinneandel-I]]*Vekter!$F$3</f>
        <v>3.527437752287284</v>
      </c>
      <c r="AH108" s="55">
        <f>Tabell2[[#This Row],[Eldreandel-I]]*Vekter!$G$3</f>
        <v>4.3817571327675129</v>
      </c>
      <c r="AI108" s="55">
        <f>Tabell2[[#This Row],[Sysselsettingsvekst10-I]]*Vekter!$H$3</f>
        <v>10</v>
      </c>
      <c r="AJ108" s="55">
        <f>Tabell2[[#This Row],[Yrkesaktivandel-I]]*Vekter!$J$3</f>
        <v>4.7700057705882761</v>
      </c>
      <c r="AK108" s="55">
        <f>Tabell2[[#This Row],[Inntekt-I]]*Vekter!$L$3</f>
        <v>10</v>
      </c>
      <c r="AL108" s="56">
        <f>SUM(Tabell2[[#This Row],[NIBR11-v]:[Inntekt-v]])</f>
        <v>86.761831961034673</v>
      </c>
    </row>
    <row r="109" spans="1:38" x14ac:dyDescent="0.25">
      <c r="A109" s="2" t="s">
        <v>106</v>
      </c>
      <c r="B109">
        <f>'Rådata-K'!M108</f>
        <v>1</v>
      </c>
      <c r="C109" s="7">
        <f>'Rådata-K'!L108</f>
        <v>26.433333333299998</v>
      </c>
      <c r="D109" s="34">
        <f>'Rådata-K'!N108</f>
        <v>186.78859984018467</v>
      </c>
      <c r="E109" s="34">
        <f>'Rådata-K'!O108</f>
        <v>0.21747685185185195</v>
      </c>
      <c r="F109" s="34">
        <f>'Rådata-K'!P108</f>
        <v>0.11650346991158855</v>
      </c>
      <c r="G109" s="34">
        <f>'Rådata-K'!Q108</f>
        <v>0.12059131096111797</v>
      </c>
      <c r="H109" s="34">
        <f>'Rådata-K'!R108</f>
        <v>0.19113573407202211</v>
      </c>
      <c r="I109" s="34">
        <f>'Rådata-K'!S108</f>
        <v>0.90664185745489845</v>
      </c>
      <c r="J109" s="22">
        <f>'Rådata-K'!K108</f>
        <v>442300</v>
      </c>
      <c r="K109" s="22">
        <f>Tabell2[[#This Row],[NIBR11]]</f>
        <v>1</v>
      </c>
      <c r="L109" s="32">
        <f>IF(Tabell2[[#This Row],[ReisetidOslo]]&lt;=C$434,C$434,IF(Tabell2[[#This Row],[ReisetidOslo]]&gt;=C$435,C$435,Tabell2[[#This Row],[ReisetidOslo]]))</f>
        <v>52.54</v>
      </c>
      <c r="M109" s="32">
        <f>IF(Tabell2[[#This Row],[Beftettotal]]&lt;=D$434,D$434,IF(Tabell2[[#This Row],[Beftettotal]]&gt;=D$435,D$435,Tabell2[[#This Row],[Beftettotal]]))</f>
        <v>130.60042534801397</v>
      </c>
      <c r="N109" s="34">
        <f>IF(Tabell2[[#This Row],[Befvekst10]]&lt;=E$434,E$434,IF(Tabell2[[#This Row],[Befvekst10]]&gt;=E$435,E$435,Tabell2[[#This Row],[Befvekst10]]))</f>
        <v>0.17216678769030419</v>
      </c>
      <c r="O109" s="34">
        <f>IF(Tabell2[[#This Row],[Kvinneandel]]&lt;=F$434,F$434,IF(Tabell2[[#This Row],[Kvinneandel]]&gt;=F$435,F$435,Tabell2[[#This Row],[Kvinneandel]]))</f>
        <v>0.11650346991158855</v>
      </c>
      <c r="P109" s="34">
        <f>IF(Tabell2[[#This Row],[Eldreandel]]&lt;=G$434,G$434,IF(Tabell2[[#This Row],[Eldreandel]]&gt;=G$435,G$435,Tabell2[[#This Row],[Eldreandel]]))</f>
        <v>0.12312339657223466</v>
      </c>
      <c r="Q109" s="34">
        <f>IF(Tabell2[[#This Row],[Sysselsettingsvekst10]]&lt;=H$434,H$434,IF(Tabell2[[#This Row],[Sysselsettingsvekst10]]&gt;=H$435,H$435,Tabell2[[#This Row],[Sysselsettingsvekst10]]))</f>
        <v>0.19113573407202211</v>
      </c>
      <c r="R109" s="34">
        <f>IF(Tabell2[[#This Row],[Yrkesaktivandel]]&lt;=I$434,I$434,IF(Tabell2[[#This Row],[Yrkesaktivandel]]&gt;=I$435,I$435,Tabell2[[#This Row],[Yrkesaktivandel]]))</f>
        <v>0.90664185745489845</v>
      </c>
      <c r="S109" s="22">
        <f>IF(Tabell2[[#This Row],[Inntekt]]&lt;=J$434,J$434,IF(Tabell2[[#This Row],[Inntekt]]&gt;=J$435,J$435,Tabell2[[#This Row],[Inntekt]]))</f>
        <v>417780</v>
      </c>
      <c r="T109" s="22">
        <f>IF(Tabell2[[#This Row],[NIBR11-T]]&lt;=K$437,100,IF(Tabell2[[#This Row],[NIBR11-T]]&gt;=K$436,0,100*(K$436-Tabell2[[#This Row],[NIBR11-T]])/K$439))</f>
        <v>100</v>
      </c>
      <c r="U109" s="7">
        <f>IF(Tabell2[[#This Row],[ReisetidOslo-T]]&lt;=L$437,100,IF(Tabell2[[#This Row],[ReisetidOslo-T]]&gt;=L$436,0,100*(L$436-Tabell2[[#This Row],[ReisetidOslo-T]])/L$439))</f>
        <v>100</v>
      </c>
      <c r="V109" s="7">
        <f>100-(M$436-Tabell2[[#This Row],[Beftettotal-T]])*100/M$439</f>
        <v>100</v>
      </c>
      <c r="W109" s="7">
        <f>100-(N$436-Tabell2[[#This Row],[Befvekst10-T]])*100/N$439</f>
        <v>100</v>
      </c>
      <c r="X109" s="7">
        <f>100-(O$436-Tabell2[[#This Row],[Kvinneandel-T]])*100/O$439</f>
        <v>68.73959126125844</v>
      </c>
      <c r="Y109" s="7">
        <f>(P$436-Tabell2[[#This Row],[Eldreandel-T]])*100/P$439</f>
        <v>100</v>
      </c>
      <c r="Z109" s="7">
        <f>100-(Q$436-Tabell2[[#This Row],[Sysselsettingsvekst10-T]])*100/Q$439</f>
        <v>77.619261759283063</v>
      </c>
      <c r="AA109" s="7">
        <f>100-(R$436-Tabell2[[#This Row],[Yrkesaktivandel-T]])*100/R$439</f>
        <v>57.410324300219798</v>
      </c>
      <c r="AB109" s="7">
        <f>100-(S$436-Tabell2[[#This Row],[Inntekt-T]])*100/S$439</f>
        <v>100</v>
      </c>
      <c r="AC109" s="55">
        <f>Tabell2[[#This Row],[NIBR11-I]]*Vekter!$B$3</f>
        <v>20</v>
      </c>
      <c r="AD109" s="55">
        <f>Tabell2[[#This Row],[ReisetidOslo-I]]*Vekter!$C$3</f>
        <v>10</v>
      </c>
      <c r="AE109" s="55">
        <f>Tabell2[[#This Row],[Beftettotal-I]]*Vekter!$D$3</f>
        <v>10</v>
      </c>
      <c r="AF109" s="55">
        <f>Tabell2[[#This Row],[Befvekst10-I]]*Vekter!$E$3</f>
        <v>20</v>
      </c>
      <c r="AG109" s="55">
        <f>Tabell2[[#This Row],[Kvinneandel-I]]*Vekter!$F$3</f>
        <v>3.4369795630629221</v>
      </c>
      <c r="AH109" s="55">
        <f>Tabell2[[#This Row],[Eldreandel-I]]*Vekter!$G$3</f>
        <v>5</v>
      </c>
      <c r="AI109" s="55">
        <f>Tabell2[[#This Row],[Sysselsettingsvekst10-I]]*Vekter!$H$3</f>
        <v>7.7619261759283065</v>
      </c>
      <c r="AJ109" s="55">
        <f>Tabell2[[#This Row],[Yrkesaktivandel-I]]*Vekter!$J$3</f>
        <v>5.7410324300219804</v>
      </c>
      <c r="AK109" s="55">
        <f>Tabell2[[#This Row],[Inntekt-I]]*Vekter!$L$3</f>
        <v>10</v>
      </c>
      <c r="AL109" s="56">
        <f>SUM(Tabell2[[#This Row],[NIBR11-v]:[Inntekt-v]])</f>
        <v>91.939938169013203</v>
      </c>
    </row>
    <row r="110" spans="1:38" x14ac:dyDescent="0.25">
      <c r="A110" s="2" t="s">
        <v>107</v>
      </c>
      <c r="B110">
        <f>'Rådata-K'!M109</f>
        <v>1</v>
      </c>
      <c r="C110" s="7">
        <f>'Rådata-K'!L109</f>
        <v>50.016666666699997</v>
      </c>
      <c r="D110" s="34">
        <f>'Rådata-K'!N109</f>
        <v>57.362489280901634</v>
      </c>
      <c r="E110" s="34">
        <f>'Rådata-K'!O109</f>
        <v>6.4325491533128831E-2</v>
      </c>
      <c r="F110" s="34">
        <f>'Rådata-K'!P109</f>
        <v>9.7704217832354515E-2</v>
      </c>
      <c r="G110" s="34">
        <f>'Rådata-K'!Q109</f>
        <v>0.16689802455953018</v>
      </c>
      <c r="H110" s="34">
        <f>'Rådata-K'!R109</f>
        <v>-7.2509679690249906E-2</v>
      </c>
      <c r="I110" s="34">
        <f>'Rådata-K'!S109</f>
        <v>0.86347282711607654</v>
      </c>
      <c r="J110" s="22">
        <f>'Rådata-K'!K109</f>
        <v>403800</v>
      </c>
      <c r="K110" s="22">
        <f>Tabell2[[#This Row],[NIBR11]]</f>
        <v>1</v>
      </c>
      <c r="L110" s="32">
        <f>IF(Tabell2[[#This Row],[ReisetidOslo]]&lt;=C$434,C$434,IF(Tabell2[[#This Row],[ReisetidOslo]]&gt;=C$435,C$435,Tabell2[[#This Row],[ReisetidOslo]]))</f>
        <v>52.54</v>
      </c>
      <c r="M110" s="32">
        <f>IF(Tabell2[[#This Row],[Beftettotal]]&lt;=D$434,D$434,IF(Tabell2[[#This Row],[Beftettotal]]&gt;=D$435,D$435,Tabell2[[#This Row],[Beftettotal]]))</f>
        <v>57.362489280901634</v>
      </c>
      <c r="N110" s="34">
        <f>IF(Tabell2[[#This Row],[Befvekst10]]&lt;=E$434,E$434,IF(Tabell2[[#This Row],[Befvekst10]]&gt;=E$435,E$435,Tabell2[[#This Row],[Befvekst10]]))</f>
        <v>6.4325491533128831E-2</v>
      </c>
      <c r="O110" s="34">
        <f>IF(Tabell2[[#This Row],[Kvinneandel]]&lt;=F$434,F$434,IF(Tabell2[[#This Row],[Kvinneandel]]&gt;=F$435,F$435,Tabell2[[#This Row],[Kvinneandel]]))</f>
        <v>9.7704217832354515E-2</v>
      </c>
      <c r="P110" s="34">
        <f>IF(Tabell2[[#This Row],[Eldreandel]]&lt;=G$434,G$434,IF(Tabell2[[#This Row],[Eldreandel]]&gt;=G$435,G$435,Tabell2[[#This Row],[Eldreandel]]))</f>
        <v>0.16689802455953018</v>
      </c>
      <c r="Q110" s="34">
        <f>IF(Tabell2[[#This Row],[Sysselsettingsvekst10]]&lt;=H$434,H$434,IF(Tabell2[[#This Row],[Sysselsettingsvekst10]]&gt;=H$435,H$435,Tabell2[[#This Row],[Sysselsettingsvekst10]]))</f>
        <v>-6.9733479337269061E-2</v>
      </c>
      <c r="R110" s="34">
        <f>IF(Tabell2[[#This Row],[Yrkesaktivandel]]&lt;=I$434,I$434,IF(Tabell2[[#This Row],[Yrkesaktivandel]]&gt;=I$435,I$435,Tabell2[[#This Row],[Yrkesaktivandel]]))</f>
        <v>0.86347282711607654</v>
      </c>
      <c r="S110" s="22">
        <f>IF(Tabell2[[#This Row],[Inntekt]]&lt;=J$434,J$434,IF(Tabell2[[#This Row],[Inntekt]]&gt;=J$435,J$435,Tabell2[[#This Row],[Inntekt]]))</f>
        <v>403800</v>
      </c>
      <c r="T110" s="22">
        <f>IF(Tabell2[[#This Row],[NIBR11-T]]&lt;=K$437,100,IF(Tabell2[[#This Row],[NIBR11-T]]&gt;=K$436,0,100*(K$436-Tabell2[[#This Row],[NIBR11-T]])/K$439))</f>
        <v>100</v>
      </c>
      <c r="U110" s="7">
        <f>IF(Tabell2[[#This Row],[ReisetidOslo-T]]&lt;=L$437,100,IF(Tabell2[[#This Row],[ReisetidOslo-T]]&gt;=L$436,0,100*(L$436-Tabell2[[#This Row],[ReisetidOslo-T]])/L$439))</f>
        <v>100</v>
      </c>
      <c r="V110" s="7">
        <f>100-(M$436-Tabell2[[#This Row],[Beftettotal-T]])*100/M$439</f>
        <v>43.345272696775559</v>
      </c>
      <c r="W110" s="7">
        <f>100-(N$436-Tabell2[[#This Row],[Befvekst10-T]])*100/N$439</f>
        <v>56.579152113710087</v>
      </c>
      <c r="X110" s="7">
        <f>100-(O$436-Tabell2[[#This Row],[Kvinneandel-T]])*100/O$439</f>
        <v>19.062916005089008</v>
      </c>
      <c r="Y110" s="7">
        <f>(P$436-Tabell2[[#This Row],[Eldreandel-T]])*100/P$439</f>
        <v>52.033866531236932</v>
      </c>
      <c r="Z110" s="7">
        <f>100-(Q$436-Tabell2[[#This Row],[Sysselsettingsvekst10-T]])*100/Q$439</f>
        <v>0</v>
      </c>
      <c r="AA110" s="7">
        <f>100-(R$436-Tabell2[[#This Row],[Yrkesaktivandel-T]])*100/R$439</f>
        <v>24.21801307239889</v>
      </c>
      <c r="AB110" s="7">
        <f>100-(S$436-Tabell2[[#This Row],[Inntekt-T]])*100/S$439</f>
        <v>83.770605990248441</v>
      </c>
      <c r="AC110" s="55">
        <f>Tabell2[[#This Row],[NIBR11-I]]*Vekter!$B$3</f>
        <v>20</v>
      </c>
      <c r="AD110" s="55">
        <f>Tabell2[[#This Row],[ReisetidOslo-I]]*Vekter!$C$3</f>
        <v>10</v>
      </c>
      <c r="AE110" s="55">
        <f>Tabell2[[#This Row],[Beftettotal-I]]*Vekter!$D$3</f>
        <v>4.3345272696775563</v>
      </c>
      <c r="AF110" s="55">
        <f>Tabell2[[#This Row],[Befvekst10-I]]*Vekter!$E$3</f>
        <v>11.315830422742017</v>
      </c>
      <c r="AG110" s="55">
        <f>Tabell2[[#This Row],[Kvinneandel-I]]*Vekter!$F$3</f>
        <v>0.95314580025445039</v>
      </c>
      <c r="AH110" s="55">
        <f>Tabell2[[#This Row],[Eldreandel-I]]*Vekter!$G$3</f>
        <v>2.6016933265618469</v>
      </c>
      <c r="AI110" s="55">
        <f>Tabell2[[#This Row],[Sysselsettingsvekst10-I]]*Vekter!$H$3</f>
        <v>0</v>
      </c>
      <c r="AJ110" s="55">
        <f>Tabell2[[#This Row],[Yrkesaktivandel-I]]*Vekter!$J$3</f>
        <v>2.421801307239889</v>
      </c>
      <c r="AK110" s="55">
        <f>Tabell2[[#This Row],[Inntekt-I]]*Vekter!$L$3</f>
        <v>8.3770605990248441</v>
      </c>
      <c r="AL110" s="56">
        <f>SUM(Tabell2[[#This Row],[NIBR11-v]:[Inntekt-v]])</f>
        <v>60.004058725500599</v>
      </c>
    </row>
    <row r="111" spans="1:38" x14ac:dyDescent="0.25">
      <c r="A111" s="2" t="s">
        <v>108</v>
      </c>
      <c r="B111">
        <f>'Rådata-K'!M110</f>
        <v>5</v>
      </c>
      <c r="C111" s="7">
        <f>'Rådata-K'!L110</f>
        <v>75.766666666700004</v>
      </c>
      <c r="D111" s="34">
        <f>'Rådata-K'!N110</f>
        <v>4.7534302646331268</v>
      </c>
      <c r="E111" s="34">
        <f>'Rådata-K'!O110</f>
        <v>6.1183949145808603E-2</v>
      </c>
      <c r="F111" s="34">
        <f>'Rådata-K'!P110</f>
        <v>0.10745039311119431</v>
      </c>
      <c r="G111" s="34">
        <f>'Rådata-K'!Q110</f>
        <v>0.16622987645076751</v>
      </c>
      <c r="H111" s="34">
        <f>'Rådata-K'!R110</f>
        <v>1.8041237113401998E-2</v>
      </c>
      <c r="I111" s="34">
        <f>'Rådata-K'!S110</f>
        <v>0.943029490616622</v>
      </c>
      <c r="J111" s="22">
        <f>'Rådata-K'!K110</f>
        <v>391100</v>
      </c>
      <c r="K111" s="22">
        <f>Tabell2[[#This Row],[NIBR11]]</f>
        <v>5</v>
      </c>
      <c r="L111" s="32">
        <f>IF(Tabell2[[#This Row],[ReisetidOslo]]&lt;=C$434,C$434,IF(Tabell2[[#This Row],[ReisetidOslo]]&gt;=C$435,C$435,Tabell2[[#This Row],[ReisetidOslo]]))</f>
        <v>75.766666666700004</v>
      </c>
      <c r="M111" s="32">
        <f>IF(Tabell2[[#This Row],[Beftettotal]]&lt;=D$434,D$434,IF(Tabell2[[#This Row],[Beftettotal]]&gt;=D$435,D$435,Tabell2[[#This Row],[Beftettotal]]))</f>
        <v>4.7534302646331268</v>
      </c>
      <c r="N111" s="34">
        <f>IF(Tabell2[[#This Row],[Befvekst10]]&lt;=E$434,E$434,IF(Tabell2[[#This Row],[Befvekst10]]&gt;=E$435,E$435,Tabell2[[#This Row],[Befvekst10]]))</f>
        <v>6.1183949145808603E-2</v>
      </c>
      <c r="O111" s="34">
        <f>IF(Tabell2[[#This Row],[Kvinneandel]]&lt;=F$434,F$434,IF(Tabell2[[#This Row],[Kvinneandel]]&gt;=F$435,F$435,Tabell2[[#This Row],[Kvinneandel]]))</f>
        <v>0.10745039311119431</v>
      </c>
      <c r="P111" s="34">
        <f>IF(Tabell2[[#This Row],[Eldreandel]]&lt;=G$434,G$434,IF(Tabell2[[#This Row],[Eldreandel]]&gt;=G$435,G$435,Tabell2[[#This Row],[Eldreandel]]))</f>
        <v>0.16622987645076751</v>
      </c>
      <c r="Q111" s="34">
        <f>IF(Tabell2[[#This Row],[Sysselsettingsvekst10]]&lt;=H$434,H$434,IF(Tabell2[[#This Row],[Sysselsettingsvekst10]]&gt;=H$435,H$435,Tabell2[[#This Row],[Sysselsettingsvekst10]]))</f>
        <v>1.8041237113401998E-2</v>
      </c>
      <c r="R111" s="34">
        <f>IF(Tabell2[[#This Row],[Yrkesaktivandel]]&lt;=I$434,I$434,IF(Tabell2[[#This Row],[Yrkesaktivandel]]&gt;=I$435,I$435,Tabell2[[#This Row],[Yrkesaktivandel]]))</f>
        <v>0.943029490616622</v>
      </c>
      <c r="S111" s="22">
        <f>IF(Tabell2[[#This Row],[Inntekt]]&lt;=J$434,J$434,IF(Tabell2[[#This Row],[Inntekt]]&gt;=J$435,J$435,Tabell2[[#This Row],[Inntekt]]))</f>
        <v>391100</v>
      </c>
      <c r="T111" s="22">
        <f>IF(Tabell2[[#This Row],[NIBR11-T]]&lt;=K$437,100,IF(Tabell2[[#This Row],[NIBR11-T]]&gt;=K$436,0,100*(K$436-Tabell2[[#This Row],[NIBR11-T]])/K$439))</f>
        <v>60</v>
      </c>
      <c r="U111" s="7">
        <f>IF(Tabell2[[#This Row],[ReisetidOslo-T]]&lt;=L$437,100,IF(Tabell2[[#This Row],[ReisetidOslo-T]]&gt;=L$436,0,100*(L$436-Tabell2[[#This Row],[ReisetidOslo-T]])/L$439))</f>
        <v>89.809140767810902</v>
      </c>
      <c r="V111" s="7">
        <f>100-(M$436-Tabell2[[#This Row],[Beftettotal-T]])*100/M$439</f>
        <v>2.648441897028917</v>
      </c>
      <c r="W111" s="7">
        <f>100-(N$436-Tabell2[[#This Row],[Befvekst10-T]])*100/N$439</f>
        <v>55.314252311974094</v>
      </c>
      <c r="X111" s="7">
        <f>100-(O$436-Tabell2[[#This Row],[Kvinneandel-T]])*100/O$439</f>
        <v>44.817003576021655</v>
      </c>
      <c r="Y111" s="7">
        <f>(P$436-Tabell2[[#This Row],[Eldreandel-T]])*100/P$439</f>
        <v>52.76599111653583</v>
      </c>
      <c r="Z111" s="7">
        <f>100-(Q$436-Tabell2[[#This Row],[Sysselsettingsvekst10-T]])*100/Q$439</f>
        <v>26.116568540198756</v>
      </c>
      <c r="AA111" s="7">
        <f>100-(R$436-Tabell2[[#This Row],[Yrkesaktivandel-T]])*100/R$439</f>
        <v>85.388475193767661</v>
      </c>
      <c r="AB111" s="7">
        <f>100-(S$436-Tabell2[[#This Row],[Inntekt-T]])*100/S$439</f>
        <v>69.027165080102151</v>
      </c>
      <c r="AC111" s="55">
        <f>Tabell2[[#This Row],[NIBR11-I]]*Vekter!$B$3</f>
        <v>12</v>
      </c>
      <c r="AD111" s="55">
        <f>Tabell2[[#This Row],[ReisetidOslo-I]]*Vekter!$C$3</f>
        <v>8.9809140767810902</v>
      </c>
      <c r="AE111" s="55">
        <f>Tabell2[[#This Row],[Beftettotal-I]]*Vekter!$D$3</f>
        <v>0.2648441897028917</v>
      </c>
      <c r="AF111" s="55">
        <f>Tabell2[[#This Row],[Befvekst10-I]]*Vekter!$E$3</f>
        <v>11.06285046239482</v>
      </c>
      <c r="AG111" s="55">
        <f>Tabell2[[#This Row],[Kvinneandel-I]]*Vekter!$F$3</f>
        <v>2.2408501788010828</v>
      </c>
      <c r="AH111" s="55">
        <f>Tabell2[[#This Row],[Eldreandel-I]]*Vekter!$G$3</f>
        <v>2.6382995558267917</v>
      </c>
      <c r="AI111" s="55">
        <f>Tabell2[[#This Row],[Sysselsettingsvekst10-I]]*Vekter!$H$3</f>
        <v>2.6116568540198757</v>
      </c>
      <c r="AJ111" s="55">
        <f>Tabell2[[#This Row],[Yrkesaktivandel-I]]*Vekter!$J$3</f>
        <v>8.5388475193767661</v>
      </c>
      <c r="AK111" s="55">
        <f>Tabell2[[#This Row],[Inntekt-I]]*Vekter!$L$3</f>
        <v>6.9027165080102151</v>
      </c>
      <c r="AL111" s="56">
        <f>SUM(Tabell2[[#This Row],[NIBR11-v]:[Inntekt-v]])</f>
        <v>55.240979344913534</v>
      </c>
    </row>
    <row r="112" spans="1:38" x14ac:dyDescent="0.25">
      <c r="A112" s="2" t="s">
        <v>109</v>
      </c>
      <c r="B112">
        <f>'Rådata-K'!M111</f>
        <v>5</v>
      </c>
      <c r="C112" s="7">
        <f>'Rådata-K'!L111</f>
        <v>96.466666666699993</v>
      </c>
      <c r="D112" s="34">
        <f>'Rådata-K'!N111</f>
        <v>3.0603841616773129</v>
      </c>
      <c r="E112" s="34">
        <f>'Rådata-K'!O111</f>
        <v>-4.5801526717557217E-2</v>
      </c>
      <c r="F112" s="34">
        <f>'Rådata-K'!P111</f>
        <v>9.236363636363637E-2</v>
      </c>
      <c r="G112" s="34">
        <f>'Rådata-K'!Q111</f>
        <v>0.22036363636363637</v>
      </c>
      <c r="H112" s="34">
        <f>'Rådata-K'!R111</f>
        <v>3.9408866995073843E-2</v>
      </c>
      <c r="I112" s="34">
        <f>'Rådata-K'!S111</f>
        <v>0.94751009421265142</v>
      </c>
      <c r="J112" s="22">
        <f>'Rådata-K'!K111</f>
        <v>373100</v>
      </c>
      <c r="K112" s="22">
        <f>Tabell2[[#This Row],[NIBR11]]</f>
        <v>5</v>
      </c>
      <c r="L112" s="32">
        <f>IF(Tabell2[[#This Row],[ReisetidOslo]]&lt;=C$434,C$434,IF(Tabell2[[#This Row],[ReisetidOslo]]&gt;=C$435,C$435,Tabell2[[#This Row],[ReisetidOslo]]))</f>
        <v>96.466666666699993</v>
      </c>
      <c r="M112" s="32">
        <f>IF(Tabell2[[#This Row],[Beftettotal]]&lt;=D$434,D$434,IF(Tabell2[[#This Row],[Beftettotal]]&gt;=D$435,D$435,Tabell2[[#This Row],[Beftettotal]]))</f>
        <v>3.0603841616773129</v>
      </c>
      <c r="N112" s="34">
        <f>IF(Tabell2[[#This Row],[Befvekst10]]&lt;=E$434,E$434,IF(Tabell2[[#This Row],[Befvekst10]]&gt;=E$435,E$435,Tabell2[[#This Row],[Befvekst10]]))</f>
        <v>-4.5801526717557217E-2</v>
      </c>
      <c r="O112" s="34">
        <f>IF(Tabell2[[#This Row],[Kvinneandel]]&lt;=F$434,F$434,IF(Tabell2[[#This Row],[Kvinneandel]]&gt;=F$435,F$435,Tabell2[[#This Row],[Kvinneandel]]))</f>
        <v>9.236363636363637E-2</v>
      </c>
      <c r="P112" s="34">
        <f>IF(Tabell2[[#This Row],[Eldreandel]]&lt;=G$434,G$434,IF(Tabell2[[#This Row],[Eldreandel]]&gt;=G$435,G$435,Tabell2[[#This Row],[Eldreandel]]))</f>
        <v>0.21438492803547596</v>
      </c>
      <c r="Q112" s="34">
        <f>IF(Tabell2[[#This Row],[Sysselsettingsvekst10]]&lt;=H$434,H$434,IF(Tabell2[[#This Row],[Sysselsettingsvekst10]]&gt;=H$435,H$435,Tabell2[[#This Row],[Sysselsettingsvekst10]]))</f>
        <v>3.9408866995073843E-2</v>
      </c>
      <c r="R112" s="34">
        <f>IF(Tabell2[[#This Row],[Yrkesaktivandel]]&lt;=I$434,I$434,IF(Tabell2[[#This Row],[Yrkesaktivandel]]&gt;=I$435,I$435,Tabell2[[#This Row],[Yrkesaktivandel]]))</f>
        <v>0.94751009421265142</v>
      </c>
      <c r="S112" s="22">
        <f>IF(Tabell2[[#This Row],[Inntekt]]&lt;=J$434,J$434,IF(Tabell2[[#This Row],[Inntekt]]&gt;=J$435,J$435,Tabell2[[#This Row],[Inntekt]]))</f>
        <v>373100</v>
      </c>
      <c r="T112" s="22">
        <f>IF(Tabell2[[#This Row],[NIBR11-T]]&lt;=K$437,100,IF(Tabell2[[#This Row],[NIBR11-T]]&gt;=K$436,0,100*(K$436-Tabell2[[#This Row],[NIBR11-T]])/K$439))</f>
        <v>60</v>
      </c>
      <c r="U112" s="7">
        <f>IF(Tabell2[[#This Row],[ReisetidOslo-T]]&lt;=L$437,100,IF(Tabell2[[#This Row],[ReisetidOslo-T]]&gt;=L$436,0,100*(L$436-Tabell2[[#This Row],[ReisetidOslo-T]])/L$439))</f>
        <v>80.726873857391354</v>
      </c>
      <c r="V112" s="7">
        <f>100-(M$436-Tabell2[[#This Row],[Beftettotal-T]])*100/M$439</f>
        <v>1.3387509031858968</v>
      </c>
      <c r="W112" s="7">
        <f>100-(N$436-Tabell2[[#This Row],[Befvekst10-T]])*100/N$439</f>
        <v>12.237988959806856</v>
      </c>
      <c r="X112" s="7">
        <f>100-(O$436-Tabell2[[#This Row],[Kvinneandel-T]])*100/O$439</f>
        <v>4.9505284386876411</v>
      </c>
      <c r="Y112" s="7">
        <f>(P$436-Tabell2[[#This Row],[Eldreandel-T]])*100/P$439</f>
        <v>0</v>
      </c>
      <c r="Z112" s="7">
        <f>100-(Q$436-Tabell2[[#This Row],[Sysselsettingsvekst10-T]])*100/Q$439</f>
        <v>32.4743124659214</v>
      </c>
      <c r="AA112" s="7">
        <f>100-(R$436-Tabell2[[#This Row],[Yrkesaktivandel-T]])*100/R$439</f>
        <v>88.833574328045799</v>
      </c>
      <c r="AB112" s="7">
        <f>100-(S$436-Tabell2[[#This Row],[Inntekt-T]])*100/S$439</f>
        <v>48.130949616902718</v>
      </c>
      <c r="AC112" s="55">
        <f>Tabell2[[#This Row],[NIBR11-I]]*Vekter!$B$3</f>
        <v>12</v>
      </c>
      <c r="AD112" s="55">
        <f>Tabell2[[#This Row],[ReisetidOslo-I]]*Vekter!$C$3</f>
        <v>8.072687385739135</v>
      </c>
      <c r="AE112" s="55">
        <f>Tabell2[[#This Row],[Beftettotal-I]]*Vekter!$D$3</f>
        <v>0.13387509031858968</v>
      </c>
      <c r="AF112" s="55">
        <f>Tabell2[[#This Row],[Befvekst10-I]]*Vekter!$E$3</f>
        <v>2.4475977919613712</v>
      </c>
      <c r="AG112" s="55">
        <f>Tabell2[[#This Row],[Kvinneandel-I]]*Vekter!$F$3</f>
        <v>0.24752642193438207</v>
      </c>
      <c r="AH112" s="55">
        <f>Tabell2[[#This Row],[Eldreandel-I]]*Vekter!$G$3</f>
        <v>0</v>
      </c>
      <c r="AI112" s="55">
        <f>Tabell2[[#This Row],[Sysselsettingsvekst10-I]]*Vekter!$H$3</f>
        <v>3.2474312465921402</v>
      </c>
      <c r="AJ112" s="55">
        <f>Tabell2[[#This Row],[Yrkesaktivandel-I]]*Vekter!$J$3</f>
        <v>8.8833574328045799</v>
      </c>
      <c r="AK112" s="55">
        <f>Tabell2[[#This Row],[Inntekt-I]]*Vekter!$L$3</f>
        <v>4.8130949616902718</v>
      </c>
      <c r="AL112" s="56">
        <f>SUM(Tabell2[[#This Row],[NIBR11-v]:[Inntekt-v]])</f>
        <v>39.845570331040463</v>
      </c>
    </row>
    <row r="113" spans="1:38" x14ac:dyDescent="0.25">
      <c r="A113" s="2" t="s">
        <v>110</v>
      </c>
      <c r="B113">
        <f>'Rådata-K'!M112</f>
        <v>11</v>
      </c>
      <c r="C113" s="7">
        <f>'Rådata-K'!L112</f>
        <v>130.76666666700001</v>
      </c>
      <c r="D113" s="34">
        <f>'Rådata-K'!N112</f>
        <v>1.0154698296360534</v>
      </c>
      <c r="E113" s="34">
        <f>'Rådata-K'!O112</f>
        <v>-3.5673624288425021E-2</v>
      </c>
      <c r="F113" s="34">
        <f>'Rådata-K'!P112</f>
        <v>8.8547815820543094E-2</v>
      </c>
      <c r="G113" s="34">
        <f>'Rådata-K'!Q112</f>
        <v>0.1951987406532861</v>
      </c>
      <c r="H113" s="34">
        <f>'Rådata-K'!R112</f>
        <v>0.12842465753424648</v>
      </c>
      <c r="I113" s="34">
        <f>'Rådata-K'!S112</f>
        <v>1.014946619217082</v>
      </c>
      <c r="J113" s="22">
        <f>'Rådata-K'!K112</f>
        <v>348100</v>
      </c>
      <c r="K113" s="22">
        <f>Tabell2[[#This Row],[NIBR11]]</f>
        <v>11</v>
      </c>
      <c r="L113" s="32">
        <f>IF(Tabell2[[#This Row],[ReisetidOslo]]&lt;=C$434,C$434,IF(Tabell2[[#This Row],[ReisetidOslo]]&gt;=C$435,C$435,Tabell2[[#This Row],[ReisetidOslo]]))</f>
        <v>130.76666666700001</v>
      </c>
      <c r="M113" s="32">
        <f>IF(Tabell2[[#This Row],[Beftettotal]]&lt;=D$434,D$434,IF(Tabell2[[#This Row],[Beftettotal]]&gt;=D$435,D$435,Tabell2[[#This Row],[Beftettotal]]))</f>
        <v>1.3297721240876861</v>
      </c>
      <c r="N113" s="34">
        <f>IF(Tabell2[[#This Row],[Befvekst10]]&lt;=E$434,E$434,IF(Tabell2[[#This Row],[Befvekst10]]&gt;=E$435,E$435,Tabell2[[#This Row],[Befvekst10]]))</f>
        <v>-3.5673624288425021E-2</v>
      </c>
      <c r="O113" s="34">
        <f>IF(Tabell2[[#This Row],[Kvinneandel]]&lt;=F$434,F$434,IF(Tabell2[[#This Row],[Kvinneandel]]&gt;=F$435,F$435,Tabell2[[#This Row],[Kvinneandel]]))</f>
        <v>9.0490197137593403E-2</v>
      </c>
      <c r="P113" s="34">
        <f>IF(Tabell2[[#This Row],[Eldreandel]]&lt;=G$434,G$434,IF(Tabell2[[#This Row],[Eldreandel]]&gt;=G$435,G$435,Tabell2[[#This Row],[Eldreandel]]))</f>
        <v>0.1951987406532861</v>
      </c>
      <c r="Q113" s="34">
        <f>IF(Tabell2[[#This Row],[Sysselsettingsvekst10]]&lt;=H$434,H$434,IF(Tabell2[[#This Row],[Sysselsettingsvekst10]]&gt;=H$435,H$435,Tabell2[[#This Row],[Sysselsettingsvekst10]]))</f>
        <v>0.12842465753424648</v>
      </c>
      <c r="R113" s="34">
        <f>IF(Tabell2[[#This Row],[Yrkesaktivandel]]&lt;=I$434,I$434,IF(Tabell2[[#This Row],[Yrkesaktivandel]]&gt;=I$435,I$435,Tabell2[[#This Row],[Yrkesaktivandel]]))</f>
        <v>0.96203284815106216</v>
      </c>
      <c r="S113" s="22">
        <f>IF(Tabell2[[#This Row],[Inntekt]]&lt;=J$434,J$434,IF(Tabell2[[#This Row],[Inntekt]]&gt;=J$435,J$435,Tabell2[[#This Row],[Inntekt]]))</f>
        <v>348100</v>
      </c>
      <c r="T113" s="22">
        <f>IF(Tabell2[[#This Row],[NIBR11-T]]&lt;=K$437,100,IF(Tabell2[[#This Row],[NIBR11-T]]&gt;=K$436,0,100*(K$436-Tabell2[[#This Row],[NIBR11-T]])/K$439))</f>
        <v>0</v>
      </c>
      <c r="U113" s="7">
        <f>IF(Tabell2[[#This Row],[ReisetidOslo-T]]&lt;=L$437,100,IF(Tabell2[[#This Row],[ReisetidOslo-T]]&gt;=L$436,0,100*(L$436-Tabell2[[#This Row],[ReisetidOslo-T]])/L$439))</f>
        <v>65.677513711008999</v>
      </c>
      <c r="V113" s="7">
        <f>100-(M$436-Tabell2[[#This Row],[Beftettotal-T]])*100/M$439</f>
        <v>0</v>
      </c>
      <c r="W113" s="7">
        <f>100-(N$436-Tabell2[[#This Row],[Befvekst10-T]])*100/N$439</f>
        <v>16.315852695250044</v>
      </c>
      <c r="X113" s="7">
        <f>100-(O$436-Tabell2[[#This Row],[Kvinneandel-T]])*100/O$439</f>
        <v>0</v>
      </c>
      <c r="Y113" s="7">
        <f>(P$436-Tabell2[[#This Row],[Eldreandel-T]])*100/P$439</f>
        <v>21.023302014077803</v>
      </c>
      <c r="Z113" s="7">
        <f>100-(Q$436-Tabell2[[#This Row],[Sysselsettingsvekst10-T]])*100/Q$439</f>
        <v>58.960151313179814</v>
      </c>
      <c r="AA113" s="7">
        <f>100-(R$436-Tabell2[[#This Row],[Yrkesaktivandel-T]])*100/R$439</f>
        <v>100</v>
      </c>
      <c r="AB113" s="7">
        <f>100-(S$436-Tabell2[[#This Row],[Inntekt-T]])*100/S$439</f>
        <v>19.108428140236825</v>
      </c>
      <c r="AC113" s="55">
        <f>Tabell2[[#This Row],[NIBR11-I]]*Vekter!$B$3</f>
        <v>0</v>
      </c>
      <c r="AD113" s="55">
        <f>Tabell2[[#This Row],[ReisetidOslo-I]]*Vekter!$C$3</f>
        <v>6.5677513711009006</v>
      </c>
      <c r="AE113" s="55">
        <f>Tabell2[[#This Row],[Beftettotal-I]]*Vekter!$D$3</f>
        <v>0</v>
      </c>
      <c r="AF113" s="55">
        <f>Tabell2[[#This Row],[Befvekst10-I]]*Vekter!$E$3</f>
        <v>3.2631705390500088</v>
      </c>
      <c r="AG113" s="55">
        <f>Tabell2[[#This Row],[Kvinneandel-I]]*Vekter!$F$3</f>
        <v>0</v>
      </c>
      <c r="AH113" s="55">
        <f>Tabell2[[#This Row],[Eldreandel-I]]*Vekter!$G$3</f>
        <v>1.0511651007038902</v>
      </c>
      <c r="AI113" s="55">
        <f>Tabell2[[#This Row],[Sysselsettingsvekst10-I]]*Vekter!$H$3</f>
        <v>5.8960151313179816</v>
      </c>
      <c r="AJ113" s="55">
        <f>Tabell2[[#This Row],[Yrkesaktivandel-I]]*Vekter!$J$3</f>
        <v>10</v>
      </c>
      <c r="AK113" s="55">
        <f>Tabell2[[#This Row],[Inntekt-I]]*Vekter!$L$3</f>
        <v>1.9108428140236826</v>
      </c>
      <c r="AL113" s="56">
        <f>SUM(Tabell2[[#This Row],[NIBR11-v]:[Inntekt-v]])</f>
        <v>28.688944956196462</v>
      </c>
    </row>
    <row r="114" spans="1:38" x14ac:dyDescent="0.25">
      <c r="A114" s="2" t="s">
        <v>111</v>
      </c>
      <c r="B114">
        <f>'Rådata-K'!M113</f>
        <v>2</v>
      </c>
      <c r="C114" s="7">
        <f>'Rådata-K'!L113</f>
        <v>63.3</v>
      </c>
      <c r="D114" s="34">
        <f>'Rådata-K'!N113</f>
        <v>382.25348110258597</v>
      </c>
      <c r="E114" s="34">
        <f>'Rådata-K'!O113</f>
        <v>8.6199935400516736E-2</v>
      </c>
      <c r="F114" s="34">
        <f>'Rådata-K'!P113</f>
        <v>0.11493142028770026</v>
      </c>
      <c r="G114" s="34">
        <f>'Rådata-K'!Q113</f>
        <v>0.16024235215403487</v>
      </c>
      <c r="H114" s="34">
        <f>'Rådata-K'!R113</f>
        <v>0.14888438133874238</v>
      </c>
      <c r="I114" s="34">
        <f>'Rådata-K'!S113</f>
        <v>0.80755903490759751</v>
      </c>
      <c r="J114" s="22">
        <f>'Rådata-K'!K113</f>
        <v>372800</v>
      </c>
      <c r="K114" s="22">
        <f>Tabell2[[#This Row],[NIBR11]]</f>
        <v>2</v>
      </c>
      <c r="L114" s="32">
        <f>IF(Tabell2[[#This Row],[ReisetidOslo]]&lt;=C$434,C$434,IF(Tabell2[[#This Row],[ReisetidOslo]]&gt;=C$435,C$435,Tabell2[[#This Row],[ReisetidOslo]]))</f>
        <v>63.3</v>
      </c>
      <c r="M114" s="32">
        <f>IF(Tabell2[[#This Row],[Beftettotal]]&lt;=D$434,D$434,IF(Tabell2[[#This Row],[Beftettotal]]&gt;=D$435,D$435,Tabell2[[#This Row],[Beftettotal]]))</f>
        <v>130.60042534801397</v>
      </c>
      <c r="N114" s="34">
        <f>IF(Tabell2[[#This Row],[Befvekst10]]&lt;=E$434,E$434,IF(Tabell2[[#This Row],[Befvekst10]]&gt;=E$435,E$435,Tabell2[[#This Row],[Befvekst10]]))</f>
        <v>8.6199935400516736E-2</v>
      </c>
      <c r="O114" s="34">
        <f>IF(Tabell2[[#This Row],[Kvinneandel]]&lt;=F$434,F$434,IF(Tabell2[[#This Row],[Kvinneandel]]&gt;=F$435,F$435,Tabell2[[#This Row],[Kvinneandel]]))</f>
        <v>0.11493142028770026</v>
      </c>
      <c r="P114" s="34">
        <f>IF(Tabell2[[#This Row],[Eldreandel]]&lt;=G$434,G$434,IF(Tabell2[[#This Row],[Eldreandel]]&gt;=G$435,G$435,Tabell2[[#This Row],[Eldreandel]]))</f>
        <v>0.16024235215403487</v>
      </c>
      <c r="Q114" s="34">
        <f>IF(Tabell2[[#This Row],[Sysselsettingsvekst10]]&lt;=H$434,H$434,IF(Tabell2[[#This Row],[Sysselsettingsvekst10]]&gt;=H$435,H$435,Tabell2[[#This Row],[Sysselsettingsvekst10]]))</f>
        <v>0.14888438133874238</v>
      </c>
      <c r="R114" s="34">
        <f>IF(Tabell2[[#This Row],[Yrkesaktivandel]]&lt;=I$434,I$434,IF(Tabell2[[#This Row],[Yrkesaktivandel]]&gt;=I$435,I$435,Tabell2[[#This Row],[Yrkesaktivandel]]))</f>
        <v>0.83197552842263423</v>
      </c>
      <c r="S114" s="22">
        <f>IF(Tabell2[[#This Row],[Inntekt]]&lt;=J$434,J$434,IF(Tabell2[[#This Row],[Inntekt]]&gt;=J$435,J$435,Tabell2[[#This Row],[Inntekt]]))</f>
        <v>372800</v>
      </c>
      <c r="T114" s="22">
        <f>IF(Tabell2[[#This Row],[NIBR11-T]]&lt;=K$437,100,IF(Tabell2[[#This Row],[NIBR11-T]]&gt;=K$436,0,100*(K$436-Tabell2[[#This Row],[NIBR11-T]])/K$439))</f>
        <v>90</v>
      </c>
      <c r="U114" s="7">
        <f>IF(Tabell2[[#This Row],[ReisetidOslo-T]]&lt;=L$437,100,IF(Tabell2[[#This Row],[ReisetidOslo-T]]&gt;=L$436,0,100*(L$436-Tabell2[[#This Row],[ReisetidOslo-T]])/L$439))</f>
        <v>95.278976234004134</v>
      </c>
      <c r="V114" s="7">
        <f>100-(M$436-Tabell2[[#This Row],[Beftettotal-T]])*100/M$439</f>
        <v>100</v>
      </c>
      <c r="W114" s="7">
        <f>100-(N$436-Tabell2[[#This Row],[Befvekst10-T]])*100/N$439</f>
        <v>65.386602817740226</v>
      </c>
      <c r="X114" s="7">
        <f>100-(O$436-Tabell2[[#This Row],[Kvinneandel-T]])*100/O$439</f>
        <v>64.585479261305721</v>
      </c>
      <c r="Y114" s="7">
        <f>(P$436-Tabell2[[#This Row],[Eldreandel-T]])*100/P$439</f>
        <v>59.326832470753416</v>
      </c>
      <c r="Z114" s="7">
        <f>100-(Q$436-Tabell2[[#This Row],[Sysselsettingsvekst10-T]])*100/Q$439</f>
        <v>65.047756043340897</v>
      </c>
      <c r="AA114" s="7">
        <f>100-(R$436-Tabell2[[#This Row],[Yrkesaktivandel-T]])*100/R$439</f>
        <v>0</v>
      </c>
      <c r="AB114" s="7">
        <f>100-(S$436-Tabell2[[#This Row],[Inntekt-T]])*100/S$439</f>
        <v>47.782679359182723</v>
      </c>
      <c r="AC114" s="55">
        <f>Tabell2[[#This Row],[NIBR11-I]]*Vekter!$B$3</f>
        <v>18</v>
      </c>
      <c r="AD114" s="55">
        <f>Tabell2[[#This Row],[ReisetidOslo-I]]*Vekter!$C$3</f>
        <v>9.5278976234004134</v>
      </c>
      <c r="AE114" s="55">
        <f>Tabell2[[#This Row],[Beftettotal-I]]*Vekter!$D$3</f>
        <v>10</v>
      </c>
      <c r="AF114" s="55">
        <f>Tabell2[[#This Row],[Befvekst10-I]]*Vekter!$E$3</f>
        <v>13.077320563548046</v>
      </c>
      <c r="AG114" s="55">
        <f>Tabell2[[#This Row],[Kvinneandel-I]]*Vekter!$F$3</f>
        <v>3.2292739630652862</v>
      </c>
      <c r="AH114" s="55">
        <f>Tabell2[[#This Row],[Eldreandel-I]]*Vekter!$G$3</f>
        <v>2.9663416235376712</v>
      </c>
      <c r="AI114" s="55">
        <f>Tabell2[[#This Row],[Sysselsettingsvekst10-I]]*Vekter!$H$3</f>
        <v>6.5047756043340899</v>
      </c>
      <c r="AJ114" s="55">
        <f>Tabell2[[#This Row],[Yrkesaktivandel-I]]*Vekter!$J$3</f>
        <v>0</v>
      </c>
      <c r="AK114" s="55">
        <f>Tabell2[[#This Row],[Inntekt-I]]*Vekter!$L$3</f>
        <v>4.7782679359182723</v>
      </c>
      <c r="AL114" s="56">
        <f>SUM(Tabell2[[#This Row],[NIBR11-v]:[Inntekt-v]])</f>
        <v>68.083877313803782</v>
      </c>
    </row>
    <row r="115" spans="1:38" x14ac:dyDescent="0.25">
      <c r="A115" s="2" t="s">
        <v>112</v>
      </c>
      <c r="B115">
        <f>'Rådata-K'!M114</f>
        <v>2</v>
      </c>
      <c r="C115" s="7">
        <f>'Rådata-K'!L114</f>
        <v>52.75</v>
      </c>
      <c r="D115" s="34">
        <f>'Rådata-K'!N114</f>
        <v>123.87868928654427</v>
      </c>
      <c r="E115" s="34">
        <f>'Rådata-K'!O114</f>
        <v>0.11005830903790081</v>
      </c>
      <c r="F115" s="34">
        <f>'Rådata-K'!P114</f>
        <v>0.11481099334021198</v>
      </c>
      <c r="G115" s="34">
        <f>'Rådata-K'!Q114</f>
        <v>0.16077291060876089</v>
      </c>
      <c r="H115" s="34">
        <f>'Rådata-K'!R114</f>
        <v>-1.810300866904635E-2</v>
      </c>
      <c r="I115" s="34">
        <f>'Rådata-K'!S114</f>
        <v>0.83168797540055028</v>
      </c>
      <c r="J115" s="22">
        <f>'Rådata-K'!K114</f>
        <v>384100</v>
      </c>
      <c r="K115" s="22">
        <f>Tabell2[[#This Row],[NIBR11]]</f>
        <v>2</v>
      </c>
      <c r="L115" s="32">
        <f>IF(Tabell2[[#This Row],[ReisetidOslo]]&lt;=C$434,C$434,IF(Tabell2[[#This Row],[ReisetidOslo]]&gt;=C$435,C$435,Tabell2[[#This Row],[ReisetidOslo]]))</f>
        <v>52.75</v>
      </c>
      <c r="M115" s="32">
        <f>IF(Tabell2[[#This Row],[Beftettotal]]&lt;=D$434,D$434,IF(Tabell2[[#This Row],[Beftettotal]]&gt;=D$435,D$435,Tabell2[[#This Row],[Beftettotal]]))</f>
        <v>123.87868928654427</v>
      </c>
      <c r="N115" s="34">
        <f>IF(Tabell2[[#This Row],[Befvekst10]]&lt;=E$434,E$434,IF(Tabell2[[#This Row],[Befvekst10]]&gt;=E$435,E$435,Tabell2[[#This Row],[Befvekst10]]))</f>
        <v>0.11005830903790081</v>
      </c>
      <c r="O115" s="34">
        <f>IF(Tabell2[[#This Row],[Kvinneandel]]&lt;=F$434,F$434,IF(Tabell2[[#This Row],[Kvinneandel]]&gt;=F$435,F$435,Tabell2[[#This Row],[Kvinneandel]]))</f>
        <v>0.11481099334021198</v>
      </c>
      <c r="P115" s="34">
        <f>IF(Tabell2[[#This Row],[Eldreandel]]&lt;=G$434,G$434,IF(Tabell2[[#This Row],[Eldreandel]]&gt;=G$435,G$435,Tabell2[[#This Row],[Eldreandel]]))</f>
        <v>0.16077291060876089</v>
      </c>
      <c r="Q115" s="34">
        <f>IF(Tabell2[[#This Row],[Sysselsettingsvekst10]]&lt;=H$434,H$434,IF(Tabell2[[#This Row],[Sysselsettingsvekst10]]&gt;=H$435,H$435,Tabell2[[#This Row],[Sysselsettingsvekst10]]))</f>
        <v>-1.810300866904635E-2</v>
      </c>
      <c r="R115" s="34">
        <f>IF(Tabell2[[#This Row],[Yrkesaktivandel]]&lt;=I$434,I$434,IF(Tabell2[[#This Row],[Yrkesaktivandel]]&gt;=I$435,I$435,Tabell2[[#This Row],[Yrkesaktivandel]]))</f>
        <v>0.83197552842263423</v>
      </c>
      <c r="S115" s="22">
        <f>IF(Tabell2[[#This Row],[Inntekt]]&lt;=J$434,J$434,IF(Tabell2[[#This Row],[Inntekt]]&gt;=J$435,J$435,Tabell2[[#This Row],[Inntekt]]))</f>
        <v>384100</v>
      </c>
      <c r="T115" s="22">
        <f>IF(Tabell2[[#This Row],[NIBR11-T]]&lt;=K$437,100,IF(Tabell2[[#This Row],[NIBR11-T]]&gt;=K$436,0,100*(K$436-Tabell2[[#This Row],[NIBR11-T]])/K$439))</f>
        <v>90</v>
      </c>
      <c r="U115" s="7">
        <f>IF(Tabell2[[#This Row],[ReisetidOslo-T]]&lt;=L$437,100,IF(Tabell2[[#This Row],[ReisetidOslo-T]]&gt;=L$436,0,100*(L$436-Tabell2[[#This Row],[ReisetidOslo-T]])/L$439))</f>
        <v>99.907861060329068</v>
      </c>
      <c r="V115" s="7">
        <f>100-(M$436-Tabell2[[#This Row],[Beftettotal-T]])*100/M$439</f>
        <v>94.800261394342826</v>
      </c>
      <c r="W115" s="7">
        <f>100-(N$436-Tabell2[[#This Row],[Befvekst10-T]])*100/N$439</f>
        <v>74.992856168156734</v>
      </c>
      <c r="X115" s="7">
        <f>100-(O$436-Tabell2[[#This Row],[Kvinneandel-T]])*100/O$439</f>
        <v>64.26725328416299</v>
      </c>
      <c r="Y115" s="7">
        <f>(P$436-Tabell2[[#This Row],[Eldreandel-T]])*100/P$439</f>
        <v>58.745472015565653</v>
      </c>
      <c r="Z115" s="7">
        <f>100-(Q$436-Tabell2[[#This Row],[Sysselsettingsvekst10-T]])*100/Q$439</f>
        <v>15.362176951345205</v>
      </c>
      <c r="AA115" s="7">
        <f>100-(R$436-Tabell2[[#This Row],[Yrkesaktivandel-T]])*100/R$439</f>
        <v>0</v>
      </c>
      <c r="AB115" s="7">
        <f>100-(S$436-Tabell2[[#This Row],[Inntekt-T]])*100/S$439</f>
        <v>60.900859066635711</v>
      </c>
      <c r="AC115" s="55">
        <f>Tabell2[[#This Row],[NIBR11-I]]*Vekter!$B$3</f>
        <v>18</v>
      </c>
      <c r="AD115" s="55">
        <f>Tabell2[[#This Row],[ReisetidOslo-I]]*Vekter!$C$3</f>
        <v>9.9907861060329068</v>
      </c>
      <c r="AE115" s="55">
        <f>Tabell2[[#This Row],[Beftettotal-I]]*Vekter!$D$3</f>
        <v>9.4800261394342833</v>
      </c>
      <c r="AF115" s="55">
        <f>Tabell2[[#This Row],[Befvekst10-I]]*Vekter!$E$3</f>
        <v>14.998571233631347</v>
      </c>
      <c r="AG115" s="55">
        <f>Tabell2[[#This Row],[Kvinneandel-I]]*Vekter!$F$3</f>
        <v>3.2133626642081499</v>
      </c>
      <c r="AH115" s="55">
        <f>Tabell2[[#This Row],[Eldreandel-I]]*Vekter!$G$3</f>
        <v>2.9372736007782829</v>
      </c>
      <c r="AI115" s="55">
        <f>Tabell2[[#This Row],[Sysselsettingsvekst10-I]]*Vekter!$H$3</f>
        <v>1.5362176951345206</v>
      </c>
      <c r="AJ115" s="55">
        <f>Tabell2[[#This Row],[Yrkesaktivandel-I]]*Vekter!$J$3</f>
        <v>0</v>
      </c>
      <c r="AK115" s="55">
        <f>Tabell2[[#This Row],[Inntekt-I]]*Vekter!$L$3</f>
        <v>6.0900859066635711</v>
      </c>
      <c r="AL115" s="56">
        <f>SUM(Tabell2[[#This Row],[NIBR11-v]:[Inntekt-v]])</f>
        <v>66.246323345883056</v>
      </c>
    </row>
    <row r="116" spans="1:38" x14ac:dyDescent="0.25">
      <c r="A116" s="2" t="s">
        <v>113</v>
      </c>
      <c r="B116">
        <f>'Rådata-K'!M115</f>
        <v>2</v>
      </c>
      <c r="C116" s="7">
        <f>'Rådata-K'!L115</f>
        <v>66.3</v>
      </c>
      <c r="D116" s="34">
        <f>'Rådata-K'!N115</f>
        <v>392.95088113985747</v>
      </c>
      <c r="E116" s="34">
        <f>'Rådata-K'!O115</f>
        <v>0.15000548666739832</v>
      </c>
      <c r="F116" s="34">
        <f>'Rådata-K'!P115</f>
        <v>0.12979484732824428</v>
      </c>
      <c r="G116" s="34">
        <f>'Rådata-K'!Q115</f>
        <v>0.15121660305343512</v>
      </c>
      <c r="H116" s="34">
        <f>'Rådata-K'!R115</f>
        <v>8.7441497659906497E-2</v>
      </c>
      <c r="I116" s="34">
        <f>'Rådata-K'!S115</f>
        <v>0.84732089102950026</v>
      </c>
      <c r="J116" s="22">
        <f>'Rådata-K'!K115</f>
        <v>399300</v>
      </c>
      <c r="K116" s="22">
        <f>Tabell2[[#This Row],[NIBR11]]</f>
        <v>2</v>
      </c>
      <c r="L116" s="32">
        <f>IF(Tabell2[[#This Row],[ReisetidOslo]]&lt;=C$434,C$434,IF(Tabell2[[#This Row],[ReisetidOslo]]&gt;=C$435,C$435,Tabell2[[#This Row],[ReisetidOslo]]))</f>
        <v>66.3</v>
      </c>
      <c r="M116" s="32">
        <f>IF(Tabell2[[#This Row],[Beftettotal]]&lt;=D$434,D$434,IF(Tabell2[[#This Row],[Beftettotal]]&gt;=D$435,D$435,Tabell2[[#This Row],[Beftettotal]]))</f>
        <v>130.60042534801397</v>
      </c>
      <c r="N116" s="34">
        <f>IF(Tabell2[[#This Row],[Befvekst10]]&lt;=E$434,E$434,IF(Tabell2[[#This Row],[Befvekst10]]&gt;=E$435,E$435,Tabell2[[#This Row],[Befvekst10]]))</f>
        <v>0.15000548666739832</v>
      </c>
      <c r="O116" s="34">
        <f>IF(Tabell2[[#This Row],[Kvinneandel]]&lt;=F$434,F$434,IF(Tabell2[[#This Row],[Kvinneandel]]&gt;=F$435,F$435,Tabell2[[#This Row],[Kvinneandel]]))</f>
        <v>0.12833341426573511</v>
      </c>
      <c r="P116" s="34">
        <f>IF(Tabell2[[#This Row],[Eldreandel]]&lt;=G$434,G$434,IF(Tabell2[[#This Row],[Eldreandel]]&gt;=G$435,G$435,Tabell2[[#This Row],[Eldreandel]]))</f>
        <v>0.15121660305343512</v>
      </c>
      <c r="Q116" s="34">
        <f>IF(Tabell2[[#This Row],[Sysselsettingsvekst10]]&lt;=H$434,H$434,IF(Tabell2[[#This Row],[Sysselsettingsvekst10]]&gt;=H$435,H$435,Tabell2[[#This Row],[Sysselsettingsvekst10]]))</f>
        <v>8.7441497659906497E-2</v>
      </c>
      <c r="R116" s="34">
        <f>IF(Tabell2[[#This Row],[Yrkesaktivandel]]&lt;=I$434,I$434,IF(Tabell2[[#This Row],[Yrkesaktivandel]]&gt;=I$435,I$435,Tabell2[[#This Row],[Yrkesaktivandel]]))</f>
        <v>0.84732089102950026</v>
      </c>
      <c r="S116" s="22">
        <f>IF(Tabell2[[#This Row],[Inntekt]]&lt;=J$434,J$434,IF(Tabell2[[#This Row],[Inntekt]]&gt;=J$435,J$435,Tabell2[[#This Row],[Inntekt]]))</f>
        <v>399300</v>
      </c>
      <c r="T116" s="22">
        <f>IF(Tabell2[[#This Row],[NIBR11-T]]&lt;=K$437,100,IF(Tabell2[[#This Row],[NIBR11-T]]&gt;=K$436,0,100*(K$436-Tabell2[[#This Row],[NIBR11-T]])/K$439))</f>
        <v>90</v>
      </c>
      <c r="U116" s="7">
        <f>IF(Tabell2[[#This Row],[ReisetidOslo-T]]&lt;=L$437,100,IF(Tabell2[[#This Row],[ReisetidOslo-T]]&gt;=L$436,0,100*(L$436-Tabell2[[#This Row],[ReisetidOslo-T]])/L$439))</f>
        <v>93.962705667276666</v>
      </c>
      <c r="V116" s="7">
        <f>100-(M$436-Tabell2[[#This Row],[Beftettotal-T]])*100/M$439</f>
        <v>100</v>
      </c>
      <c r="W116" s="7">
        <f>100-(N$436-Tabell2[[#This Row],[Befvekst10-T]])*100/N$439</f>
        <v>91.077050119321555</v>
      </c>
      <c r="X116" s="7">
        <f>100-(O$436-Tabell2[[#This Row],[Kvinneandel-T]])*100/O$439</f>
        <v>100</v>
      </c>
      <c r="Y116" s="7">
        <f>(P$436-Tabell2[[#This Row],[Eldreandel-T]])*100/P$439</f>
        <v>69.216814543030154</v>
      </c>
      <c r="Z116" s="7">
        <f>100-(Q$436-Tabell2[[#This Row],[Sysselsettingsvekst10-T]])*100/Q$439</f>
        <v>46.765984847787152</v>
      </c>
      <c r="AA116" s="7">
        <f>100-(R$436-Tabell2[[#This Row],[Yrkesaktivandel-T]])*100/R$439</f>
        <v>11.798922689556122</v>
      </c>
      <c r="AB116" s="7">
        <f>100-(S$436-Tabell2[[#This Row],[Inntekt-T]])*100/S$439</f>
        <v>78.546552124448567</v>
      </c>
      <c r="AC116" s="55">
        <f>Tabell2[[#This Row],[NIBR11-I]]*Vekter!$B$3</f>
        <v>18</v>
      </c>
      <c r="AD116" s="55">
        <f>Tabell2[[#This Row],[ReisetidOslo-I]]*Vekter!$C$3</f>
        <v>9.3962705667276669</v>
      </c>
      <c r="AE116" s="55">
        <f>Tabell2[[#This Row],[Beftettotal-I]]*Vekter!$D$3</f>
        <v>10</v>
      </c>
      <c r="AF116" s="55">
        <f>Tabell2[[#This Row],[Befvekst10-I]]*Vekter!$E$3</f>
        <v>18.215410023864312</v>
      </c>
      <c r="AG116" s="55">
        <f>Tabell2[[#This Row],[Kvinneandel-I]]*Vekter!$F$3</f>
        <v>5</v>
      </c>
      <c r="AH116" s="55">
        <f>Tabell2[[#This Row],[Eldreandel-I]]*Vekter!$G$3</f>
        <v>3.460840727151508</v>
      </c>
      <c r="AI116" s="55">
        <f>Tabell2[[#This Row],[Sysselsettingsvekst10-I]]*Vekter!$H$3</f>
        <v>4.6765984847787152</v>
      </c>
      <c r="AJ116" s="55">
        <f>Tabell2[[#This Row],[Yrkesaktivandel-I]]*Vekter!$J$3</f>
        <v>1.1798922689556122</v>
      </c>
      <c r="AK116" s="55">
        <f>Tabell2[[#This Row],[Inntekt-I]]*Vekter!$L$3</f>
        <v>7.8546552124448574</v>
      </c>
      <c r="AL116" s="56">
        <f>SUM(Tabell2[[#This Row],[NIBR11-v]:[Inntekt-v]])</f>
        <v>77.783667283922654</v>
      </c>
    </row>
    <row r="117" spans="1:38" x14ac:dyDescent="0.25">
      <c r="A117" s="2" t="s">
        <v>114</v>
      </c>
      <c r="B117">
        <f>'Rådata-K'!M116</f>
        <v>4</v>
      </c>
      <c r="C117" s="7">
        <f>'Rådata-K'!L116</f>
        <v>75.566666666700002</v>
      </c>
      <c r="D117" s="34">
        <f>'Rådata-K'!N116</f>
        <v>373.5747875587823</v>
      </c>
      <c r="E117" s="34">
        <f>'Rådata-K'!O116</f>
        <v>9.6684346920487219E-2</v>
      </c>
      <c r="F117" s="34">
        <f>'Rådata-K'!P116</f>
        <v>0.11468386298889159</v>
      </c>
      <c r="G117" s="34">
        <f>'Rådata-K'!Q116</f>
        <v>0.15964753428590359</v>
      </c>
      <c r="H117" s="34">
        <f>'Rådata-K'!R116</f>
        <v>0.14856247297881531</v>
      </c>
      <c r="I117" s="34">
        <f>'Rådata-K'!S116</f>
        <v>0.82415050873488194</v>
      </c>
      <c r="J117" s="22">
        <f>'Rådata-K'!K116</f>
        <v>387400</v>
      </c>
      <c r="K117" s="22">
        <f>Tabell2[[#This Row],[NIBR11]]</f>
        <v>4</v>
      </c>
      <c r="L117" s="32">
        <f>IF(Tabell2[[#This Row],[ReisetidOslo]]&lt;=C$434,C$434,IF(Tabell2[[#This Row],[ReisetidOslo]]&gt;=C$435,C$435,Tabell2[[#This Row],[ReisetidOslo]]))</f>
        <v>75.566666666700002</v>
      </c>
      <c r="M117" s="32">
        <f>IF(Tabell2[[#This Row],[Beftettotal]]&lt;=D$434,D$434,IF(Tabell2[[#This Row],[Beftettotal]]&gt;=D$435,D$435,Tabell2[[#This Row],[Beftettotal]]))</f>
        <v>130.60042534801397</v>
      </c>
      <c r="N117" s="34">
        <f>IF(Tabell2[[#This Row],[Befvekst10]]&lt;=E$434,E$434,IF(Tabell2[[#This Row],[Befvekst10]]&gt;=E$435,E$435,Tabell2[[#This Row],[Befvekst10]]))</f>
        <v>9.6684346920487219E-2</v>
      </c>
      <c r="O117" s="34">
        <f>IF(Tabell2[[#This Row],[Kvinneandel]]&lt;=F$434,F$434,IF(Tabell2[[#This Row],[Kvinneandel]]&gt;=F$435,F$435,Tabell2[[#This Row],[Kvinneandel]]))</f>
        <v>0.11468386298889159</v>
      </c>
      <c r="P117" s="34">
        <f>IF(Tabell2[[#This Row],[Eldreandel]]&lt;=G$434,G$434,IF(Tabell2[[#This Row],[Eldreandel]]&gt;=G$435,G$435,Tabell2[[#This Row],[Eldreandel]]))</f>
        <v>0.15964753428590359</v>
      </c>
      <c r="Q117" s="34">
        <f>IF(Tabell2[[#This Row],[Sysselsettingsvekst10]]&lt;=H$434,H$434,IF(Tabell2[[#This Row],[Sysselsettingsvekst10]]&gt;=H$435,H$435,Tabell2[[#This Row],[Sysselsettingsvekst10]]))</f>
        <v>0.14856247297881531</v>
      </c>
      <c r="R117" s="34">
        <f>IF(Tabell2[[#This Row],[Yrkesaktivandel]]&lt;=I$434,I$434,IF(Tabell2[[#This Row],[Yrkesaktivandel]]&gt;=I$435,I$435,Tabell2[[#This Row],[Yrkesaktivandel]]))</f>
        <v>0.83197552842263423</v>
      </c>
      <c r="S117" s="22">
        <f>IF(Tabell2[[#This Row],[Inntekt]]&lt;=J$434,J$434,IF(Tabell2[[#This Row],[Inntekt]]&gt;=J$435,J$435,Tabell2[[#This Row],[Inntekt]]))</f>
        <v>387400</v>
      </c>
      <c r="T117" s="22">
        <f>IF(Tabell2[[#This Row],[NIBR11-T]]&lt;=K$437,100,IF(Tabell2[[#This Row],[NIBR11-T]]&gt;=K$436,0,100*(K$436-Tabell2[[#This Row],[NIBR11-T]])/K$439))</f>
        <v>70</v>
      </c>
      <c r="U117" s="7">
        <f>IF(Tabell2[[#This Row],[ReisetidOslo-T]]&lt;=L$437,100,IF(Tabell2[[#This Row],[ReisetidOslo-T]]&gt;=L$436,0,100*(L$436-Tabell2[[#This Row],[ReisetidOslo-T]])/L$439))</f>
        <v>89.896892138926077</v>
      </c>
      <c r="V117" s="7">
        <f>100-(M$436-Tabell2[[#This Row],[Beftettotal-T]])*100/M$439</f>
        <v>100</v>
      </c>
      <c r="W117" s="7">
        <f>100-(N$436-Tabell2[[#This Row],[Befvekst10-T]])*100/N$439</f>
        <v>69.608010145063176</v>
      </c>
      <c r="X117" s="7">
        <f>100-(O$436-Tabell2[[#This Row],[Kvinneandel-T]])*100/O$439</f>
        <v>63.931313686612619</v>
      </c>
      <c r="Y117" s="7">
        <f>(P$436-Tabell2[[#This Row],[Eldreandel-T]])*100/P$439</f>
        <v>59.978605302738892</v>
      </c>
      <c r="Z117" s="7">
        <f>100-(Q$436-Tabell2[[#This Row],[Sysselsettingsvekst10-T]])*100/Q$439</f>
        <v>64.951975138706217</v>
      </c>
      <c r="AA117" s="7">
        <f>100-(R$436-Tabell2[[#This Row],[Yrkesaktivandel-T]])*100/R$439</f>
        <v>0</v>
      </c>
      <c r="AB117" s="7">
        <f>100-(S$436-Tabell2[[#This Row],[Inntekt-T]])*100/S$439</f>
        <v>64.731831901555609</v>
      </c>
      <c r="AC117" s="55">
        <f>Tabell2[[#This Row],[NIBR11-I]]*Vekter!$B$3</f>
        <v>14</v>
      </c>
      <c r="AD117" s="55">
        <f>Tabell2[[#This Row],[ReisetidOslo-I]]*Vekter!$C$3</f>
        <v>8.9896892138926088</v>
      </c>
      <c r="AE117" s="55">
        <f>Tabell2[[#This Row],[Beftettotal-I]]*Vekter!$D$3</f>
        <v>10</v>
      </c>
      <c r="AF117" s="55">
        <f>Tabell2[[#This Row],[Befvekst10-I]]*Vekter!$E$3</f>
        <v>13.921602029012636</v>
      </c>
      <c r="AG117" s="55">
        <f>Tabell2[[#This Row],[Kvinneandel-I]]*Vekter!$F$3</f>
        <v>3.1965656843306309</v>
      </c>
      <c r="AH117" s="55">
        <f>Tabell2[[#This Row],[Eldreandel-I]]*Vekter!$G$3</f>
        <v>2.9989302651369449</v>
      </c>
      <c r="AI117" s="55">
        <f>Tabell2[[#This Row],[Sysselsettingsvekst10-I]]*Vekter!$H$3</f>
        <v>6.4951975138706217</v>
      </c>
      <c r="AJ117" s="55">
        <f>Tabell2[[#This Row],[Yrkesaktivandel-I]]*Vekter!$J$3</f>
        <v>0</v>
      </c>
      <c r="AK117" s="55">
        <f>Tabell2[[#This Row],[Inntekt-I]]*Vekter!$L$3</f>
        <v>6.4731831901555612</v>
      </c>
      <c r="AL117" s="56">
        <f>SUM(Tabell2[[#This Row],[NIBR11-v]:[Inntekt-v]])</f>
        <v>66.075167896399009</v>
      </c>
    </row>
    <row r="118" spans="1:38" x14ac:dyDescent="0.25">
      <c r="A118" s="2" t="s">
        <v>115</v>
      </c>
      <c r="B118">
        <f>'Rådata-K'!M117</f>
        <v>4</v>
      </c>
      <c r="C118" s="7">
        <f>'Rådata-K'!L117</f>
        <v>83.2</v>
      </c>
      <c r="D118" s="34">
        <f>'Rådata-K'!N117</f>
        <v>81.322666267897858</v>
      </c>
      <c r="E118" s="34">
        <f>'Rådata-K'!O117</f>
        <v>5.7459530406883452E-2</v>
      </c>
      <c r="F118" s="34">
        <f>'Rådata-K'!P117</f>
        <v>0.1108352870868386</v>
      </c>
      <c r="G118" s="34">
        <f>'Rådata-K'!Q117</f>
        <v>0.16526456120994806</v>
      </c>
      <c r="H118" s="34">
        <f>'Rådata-K'!R117</f>
        <v>3.8206360100663472E-2</v>
      </c>
      <c r="I118" s="34">
        <f>'Rådata-K'!S117</f>
        <v>0.8415758591785415</v>
      </c>
      <c r="J118" s="22">
        <f>'Rådata-K'!K117</f>
        <v>369500</v>
      </c>
      <c r="K118" s="22">
        <f>Tabell2[[#This Row],[NIBR11]]</f>
        <v>4</v>
      </c>
      <c r="L118" s="32">
        <f>IF(Tabell2[[#This Row],[ReisetidOslo]]&lt;=C$434,C$434,IF(Tabell2[[#This Row],[ReisetidOslo]]&gt;=C$435,C$435,Tabell2[[#This Row],[ReisetidOslo]]))</f>
        <v>83.2</v>
      </c>
      <c r="M118" s="32">
        <f>IF(Tabell2[[#This Row],[Beftettotal]]&lt;=D$434,D$434,IF(Tabell2[[#This Row],[Beftettotal]]&gt;=D$435,D$435,Tabell2[[#This Row],[Beftettotal]]))</f>
        <v>81.322666267897858</v>
      </c>
      <c r="N118" s="34">
        <f>IF(Tabell2[[#This Row],[Befvekst10]]&lt;=E$434,E$434,IF(Tabell2[[#This Row],[Befvekst10]]&gt;=E$435,E$435,Tabell2[[#This Row],[Befvekst10]]))</f>
        <v>5.7459530406883452E-2</v>
      </c>
      <c r="O118" s="34">
        <f>IF(Tabell2[[#This Row],[Kvinneandel]]&lt;=F$434,F$434,IF(Tabell2[[#This Row],[Kvinneandel]]&gt;=F$435,F$435,Tabell2[[#This Row],[Kvinneandel]]))</f>
        <v>0.1108352870868386</v>
      </c>
      <c r="P118" s="34">
        <f>IF(Tabell2[[#This Row],[Eldreandel]]&lt;=G$434,G$434,IF(Tabell2[[#This Row],[Eldreandel]]&gt;=G$435,G$435,Tabell2[[#This Row],[Eldreandel]]))</f>
        <v>0.16526456120994806</v>
      </c>
      <c r="Q118" s="34">
        <f>IF(Tabell2[[#This Row],[Sysselsettingsvekst10]]&lt;=H$434,H$434,IF(Tabell2[[#This Row],[Sysselsettingsvekst10]]&gt;=H$435,H$435,Tabell2[[#This Row],[Sysselsettingsvekst10]]))</f>
        <v>3.8206360100663472E-2</v>
      </c>
      <c r="R118" s="34">
        <f>IF(Tabell2[[#This Row],[Yrkesaktivandel]]&lt;=I$434,I$434,IF(Tabell2[[#This Row],[Yrkesaktivandel]]&gt;=I$435,I$435,Tabell2[[#This Row],[Yrkesaktivandel]]))</f>
        <v>0.8415758591785415</v>
      </c>
      <c r="S118" s="22">
        <f>IF(Tabell2[[#This Row],[Inntekt]]&lt;=J$434,J$434,IF(Tabell2[[#This Row],[Inntekt]]&gt;=J$435,J$435,Tabell2[[#This Row],[Inntekt]]))</f>
        <v>369500</v>
      </c>
      <c r="T118" s="22">
        <f>IF(Tabell2[[#This Row],[NIBR11-T]]&lt;=K$437,100,IF(Tabell2[[#This Row],[NIBR11-T]]&gt;=K$436,0,100*(K$436-Tabell2[[#This Row],[NIBR11-T]])/K$439))</f>
        <v>70</v>
      </c>
      <c r="U118" s="7">
        <f>IF(Tabell2[[#This Row],[ReisetidOslo-T]]&lt;=L$437,100,IF(Tabell2[[#This Row],[ReisetidOslo-T]]&gt;=L$436,0,100*(L$436-Tabell2[[#This Row],[ReisetidOslo-T]])/L$439))</f>
        <v>86.547714808045257</v>
      </c>
      <c r="V118" s="7">
        <f>100-(M$436-Tabell2[[#This Row],[Beftettotal-T]])*100/M$439</f>
        <v>61.880165489103092</v>
      </c>
      <c r="W118" s="7">
        <f>100-(N$436-Tabell2[[#This Row],[Befvekst10-T]])*100/N$439</f>
        <v>53.814665184497265</v>
      </c>
      <c r="X118" s="7">
        <f>100-(O$436-Tabell2[[#This Row],[Kvinneandel-T]])*100/O$439</f>
        <v>53.761523182223804</v>
      </c>
      <c r="Y118" s="7">
        <f>(P$436-Tabell2[[#This Row],[Eldreandel-T]])*100/P$439</f>
        <v>53.823737162807532</v>
      </c>
      <c r="Z118" s="7">
        <f>100-(Q$436-Tabell2[[#This Row],[Sysselsettingsvekst10-T]])*100/Q$439</f>
        <v>32.116517476682318</v>
      </c>
      <c r="AA118" s="7">
        <f>100-(R$436-Tabell2[[#This Row],[Yrkesaktivandel-T]])*100/R$439</f>
        <v>7.3816151032127095</v>
      </c>
      <c r="AB118" s="7">
        <f>100-(S$436-Tabell2[[#This Row],[Inntekt-T]])*100/S$439</f>
        <v>43.951706524262825</v>
      </c>
      <c r="AC118" s="55">
        <f>Tabell2[[#This Row],[NIBR11-I]]*Vekter!$B$3</f>
        <v>14</v>
      </c>
      <c r="AD118" s="55">
        <f>Tabell2[[#This Row],[ReisetidOslo-I]]*Vekter!$C$3</f>
        <v>8.6547714808045253</v>
      </c>
      <c r="AE118" s="55">
        <f>Tabell2[[#This Row],[Beftettotal-I]]*Vekter!$D$3</f>
        <v>6.1880165489103094</v>
      </c>
      <c r="AF118" s="55">
        <f>Tabell2[[#This Row],[Befvekst10-I]]*Vekter!$E$3</f>
        <v>10.762933036899454</v>
      </c>
      <c r="AG118" s="55">
        <f>Tabell2[[#This Row],[Kvinneandel-I]]*Vekter!$F$3</f>
        <v>2.6880761591111906</v>
      </c>
      <c r="AH118" s="55">
        <f>Tabell2[[#This Row],[Eldreandel-I]]*Vekter!$G$3</f>
        <v>2.6911868581403766</v>
      </c>
      <c r="AI118" s="55">
        <f>Tabell2[[#This Row],[Sysselsettingsvekst10-I]]*Vekter!$H$3</f>
        <v>3.211651747668232</v>
      </c>
      <c r="AJ118" s="55">
        <f>Tabell2[[#This Row],[Yrkesaktivandel-I]]*Vekter!$J$3</f>
        <v>0.73816151032127097</v>
      </c>
      <c r="AK118" s="55">
        <f>Tabell2[[#This Row],[Inntekt-I]]*Vekter!$L$3</f>
        <v>4.395170652426283</v>
      </c>
      <c r="AL118" s="56">
        <f>SUM(Tabell2[[#This Row],[NIBR11-v]:[Inntekt-v]])</f>
        <v>53.329967994281645</v>
      </c>
    </row>
    <row r="119" spans="1:38" x14ac:dyDescent="0.25">
      <c r="A119" s="2" t="s">
        <v>116</v>
      </c>
      <c r="B119">
        <f>'Rådata-K'!M118</f>
        <v>2</v>
      </c>
      <c r="C119" s="7">
        <f>'Rådata-K'!L118</f>
        <v>46.733333333300003</v>
      </c>
      <c r="D119" s="34">
        <f>'Rådata-K'!N118</f>
        <v>114.36243936243936</v>
      </c>
      <c r="E119" s="34">
        <f>'Rådata-K'!O118</f>
        <v>2.4840863219996789E-2</v>
      </c>
      <c r="F119" s="34">
        <f>'Rådata-K'!P118</f>
        <v>0.10725647629147099</v>
      </c>
      <c r="G119" s="34">
        <f>'Rådata-K'!Q118</f>
        <v>0.15846083926677776</v>
      </c>
      <c r="H119" s="34">
        <f>'Rådata-K'!R118</f>
        <v>7.3071718538565644E-2</v>
      </c>
      <c r="I119" s="34">
        <f>'Rådata-K'!S118</f>
        <v>0.84799382716049387</v>
      </c>
      <c r="J119" s="22">
        <f>'Rådata-K'!K118</f>
        <v>378900</v>
      </c>
      <c r="K119" s="22">
        <f>Tabell2[[#This Row],[NIBR11]]</f>
        <v>2</v>
      </c>
      <c r="L119" s="32">
        <f>IF(Tabell2[[#This Row],[ReisetidOslo]]&lt;=C$434,C$434,IF(Tabell2[[#This Row],[ReisetidOslo]]&gt;=C$435,C$435,Tabell2[[#This Row],[ReisetidOslo]]))</f>
        <v>52.54</v>
      </c>
      <c r="M119" s="32">
        <f>IF(Tabell2[[#This Row],[Beftettotal]]&lt;=D$434,D$434,IF(Tabell2[[#This Row],[Beftettotal]]&gt;=D$435,D$435,Tabell2[[#This Row],[Beftettotal]]))</f>
        <v>114.36243936243936</v>
      </c>
      <c r="N119" s="34">
        <f>IF(Tabell2[[#This Row],[Befvekst10]]&lt;=E$434,E$434,IF(Tabell2[[#This Row],[Befvekst10]]&gt;=E$435,E$435,Tabell2[[#This Row],[Befvekst10]]))</f>
        <v>2.4840863219996789E-2</v>
      </c>
      <c r="O119" s="34">
        <f>IF(Tabell2[[#This Row],[Kvinneandel]]&lt;=F$434,F$434,IF(Tabell2[[#This Row],[Kvinneandel]]&gt;=F$435,F$435,Tabell2[[#This Row],[Kvinneandel]]))</f>
        <v>0.10725647629147099</v>
      </c>
      <c r="P119" s="34">
        <f>IF(Tabell2[[#This Row],[Eldreandel]]&lt;=G$434,G$434,IF(Tabell2[[#This Row],[Eldreandel]]&gt;=G$435,G$435,Tabell2[[#This Row],[Eldreandel]]))</f>
        <v>0.15846083926677776</v>
      </c>
      <c r="Q119" s="34">
        <f>IF(Tabell2[[#This Row],[Sysselsettingsvekst10]]&lt;=H$434,H$434,IF(Tabell2[[#This Row],[Sysselsettingsvekst10]]&gt;=H$435,H$435,Tabell2[[#This Row],[Sysselsettingsvekst10]]))</f>
        <v>7.3071718538565644E-2</v>
      </c>
      <c r="R119" s="34">
        <f>IF(Tabell2[[#This Row],[Yrkesaktivandel]]&lt;=I$434,I$434,IF(Tabell2[[#This Row],[Yrkesaktivandel]]&gt;=I$435,I$435,Tabell2[[#This Row],[Yrkesaktivandel]]))</f>
        <v>0.84799382716049387</v>
      </c>
      <c r="S119" s="22">
        <f>IF(Tabell2[[#This Row],[Inntekt]]&lt;=J$434,J$434,IF(Tabell2[[#This Row],[Inntekt]]&gt;=J$435,J$435,Tabell2[[#This Row],[Inntekt]]))</f>
        <v>378900</v>
      </c>
      <c r="T119" s="22">
        <f>IF(Tabell2[[#This Row],[NIBR11-T]]&lt;=K$437,100,IF(Tabell2[[#This Row],[NIBR11-T]]&gt;=K$436,0,100*(K$436-Tabell2[[#This Row],[NIBR11-T]])/K$439))</f>
        <v>90</v>
      </c>
      <c r="U119" s="7">
        <f>IF(Tabell2[[#This Row],[ReisetidOslo-T]]&lt;=L$437,100,IF(Tabell2[[#This Row],[ReisetidOslo-T]]&gt;=L$436,0,100*(L$436-Tabell2[[#This Row],[ReisetidOslo-T]])/L$439))</f>
        <v>100</v>
      </c>
      <c r="V119" s="7">
        <f>100-(M$436-Tabell2[[#This Row],[Beftettotal-T]])*100/M$439</f>
        <v>87.438768521230642</v>
      </c>
      <c r="W119" s="7">
        <f>100-(N$436-Tabell2[[#This Row],[Befvekst10-T]])*100/N$439</f>
        <v>40.681197425438953</v>
      </c>
      <c r="X119" s="7">
        <f>100-(O$436-Tabell2[[#This Row],[Kvinneandel-T]])*100/O$439</f>
        <v>44.304581973316218</v>
      </c>
      <c r="Y119" s="7">
        <f>(P$436-Tabell2[[#This Row],[Eldreandel-T]])*100/P$439</f>
        <v>61.278928670207051</v>
      </c>
      <c r="Z119" s="7">
        <f>100-(Q$436-Tabell2[[#This Row],[Sysselsettingsvekst10-T]])*100/Q$439</f>
        <v>42.490387768064018</v>
      </c>
      <c r="AA119" s="7">
        <f>100-(R$436-Tabell2[[#This Row],[Yrkesaktivandel-T]])*100/R$439</f>
        <v>12.316337728093558</v>
      </c>
      <c r="AB119" s="7">
        <f>100-(S$436-Tabell2[[#This Row],[Inntekt-T]])*100/S$439</f>
        <v>54.864174599489203</v>
      </c>
      <c r="AC119" s="55">
        <f>Tabell2[[#This Row],[NIBR11-I]]*Vekter!$B$3</f>
        <v>18</v>
      </c>
      <c r="AD119" s="55">
        <f>Tabell2[[#This Row],[ReisetidOslo-I]]*Vekter!$C$3</f>
        <v>10</v>
      </c>
      <c r="AE119" s="55">
        <f>Tabell2[[#This Row],[Beftettotal-I]]*Vekter!$D$3</f>
        <v>8.7438768521230639</v>
      </c>
      <c r="AF119" s="55">
        <f>Tabell2[[#This Row],[Befvekst10-I]]*Vekter!$E$3</f>
        <v>8.1362394850877902</v>
      </c>
      <c r="AG119" s="55">
        <f>Tabell2[[#This Row],[Kvinneandel-I]]*Vekter!$F$3</f>
        <v>2.215229098665811</v>
      </c>
      <c r="AH119" s="55">
        <f>Tabell2[[#This Row],[Eldreandel-I]]*Vekter!$G$3</f>
        <v>3.0639464335103526</v>
      </c>
      <c r="AI119" s="55">
        <f>Tabell2[[#This Row],[Sysselsettingsvekst10-I]]*Vekter!$H$3</f>
        <v>4.249038776806402</v>
      </c>
      <c r="AJ119" s="55">
        <f>Tabell2[[#This Row],[Yrkesaktivandel-I]]*Vekter!$J$3</f>
        <v>1.2316337728093558</v>
      </c>
      <c r="AK119" s="55">
        <f>Tabell2[[#This Row],[Inntekt-I]]*Vekter!$L$3</f>
        <v>5.486417459948921</v>
      </c>
      <c r="AL119" s="56">
        <f>SUM(Tabell2[[#This Row],[NIBR11-v]:[Inntekt-v]])</f>
        <v>61.12638187895169</v>
      </c>
    </row>
    <row r="120" spans="1:38" x14ac:dyDescent="0.25">
      <c r="A120" s="2" t="s">
        <v>117</v>
      </c>
      <c r="B120">
        <f>'Rådata-K'!M119</f>
        <v>2</v>
      </c>
      <c r="C120" s="7">
        <f>'Rådata-K'!L119</f>
        <v>41.9666666667</v>
      </c>
      <c r="D120" s="34">
        <f>'Rådata-K'!N119</f>
        <v>51.300885948188849</v>
      </c>
      <c r="E120" s="34">
        <f>'Rådata-K'!O119</f>
        <v>0.18972691807542263</v>
      </c>
      <c r="F120" s="34">
        <f>'Rådata-K'!P119</f>
        <v>0.11651546617116625</v>
      </c>
      <c r="G120" s="34">
        <f>'Rådata-K'!Q119</f>
        <v>0.14001530221882172</v>
      </c>
      <c r="H120" s="34">
        <f>'Rådata-K'!R119</f>
        <v>0.19376278118609402</v>
      </c>
      <c r="I120" s="34">
        <f>'Rådata-K'!S119</f>
        <v>0.86947487721949379</v>
      </c>
      <c r="J120" s="22">
        <f>'Rådata-K'!K119</f>
        <v>391700</v>
      </c>
      <c r="K120" s="22">
        <f>Tabell2[[#This Row],[NIBR11]]</f>
        <v>2</v>
      </c>
      <c r="L120" s="32">
        <f>IF(Tabell2[[#This Row],[ReisetidOslo]]&lt;=C$434,C$434,IF(Tabell2[[#This Row],[ReisetidOslo]]&gt;=C$435,C$435,Tabell2[[#This Row],[ReisetidOslo]]))</f>
        <v>52.54</v>
      </c>
      <c r="M120" s="32">
        <f>IF(Tabell2[[#This Row],[Beftettotal]]&lt;=D$434,D$434,IF(Tabell2[[#This Row],[Beftettotal]]&gt;=D$435,D$435,Tabell2[[#This Row],[Beftettotal]]))</f>
        <v>51.300885948188849</v>
      </c>
      <c r="N120" s="34">
        <f>IF(Tabell2[[#This Row],[Befvekst10]]&lt;=E$434,E$434,IF(Tabell2[[#This Row],[Befvekst10]]&gt;=E$435,E$435,Tabell2[[#This Row],[Befvekst10]]))</f>
        <v>0.17216678769030419</v>
      </c>
      <c r="O120" s="34">
        <f>IF(Tabell2[[#This Row],[Kvinneandel]]&lt;=F$434,F$434,IF(Tabell2[[#This Row],[Kvinneandel]]&gt;=F$435,F$435,Tabell2[[#This Row],[Kvinneandel]]))</f>
        <v>0.11651546617116625</v>
      </c>
      <c r="P120" s="34">
        <f>IF(Tabell2[[#This Row],[Eldreandel]]&lt;=G$434,G$434,IF(Tabell2[[#This Row],[Eldreandel]]&gt;=G$435,G$435,Tabell2[[#This Row],[Eldreandel]]))</f>
        <v>0.14001530221882172</v>
      </c>
      <c r="Q120" s="34">
        <f>IF(Tabell2[[#This Row],[Sysselsettingsvekst10]]&lt;=H$434,H$434,IF(Tabell2[[#This Row],[Sysselsettingsvekst10]]&gt;=H$435,H$435,Tabell2[[#This Row],[Sysselsettingsvekst10]]))</f>
        <v>0.19376278118609402</v>
      </c>
      <c r="R120" s="34">
        <f>IF(Tabell2[[#This Row],[Yrkesaktivandel]]&lt;=I$434,I$434,IF(Tabell2[[#This Row],[Yrkesaktivandel]]&gt;=I$435,I$435,Tabell2[[#This Row],[Yrkesaktivandel]]))</f>
        <v>0.86947487721949379</v>
      </c>
      <c r="S120" s="22">
        <f>IF(Tabell2[[#This Row],[Inntekt]]&lt;=J$434,J$434,IF(Tabell2[[#This Row],[Inntekt]]&gt;=J$435,J$435,Tabell2[[#This Row],[Inntekt]]))</f>
        <v>391700</v>
      </c>
      <c r="T120" s="22">
        <f>IF(Tabell2[[#This Row],[NIBR11-T]]&lt;=K$437,100,IF(Tabell2[[#This Row],[NIBR11-T]]&gt;=K$436,0,100*(K$436-Tabell2[[#This Row],[NIBR11-T]])/K$439))</f>
        <v>90</v>
      </c>
      <c r="U120" s="7">
        <f>IF(Tabell2[[#This Row],[ReisetidOslo-T]]&lt;=L$437,100,IF(Tabell2[[#This Row],[ReisetidOslo-T]]&gt;=L$436,0,100*(L$436-Tabell2[[#This Row],[ReisetidOslo-T]])/L$439))</f>
        <v>100</v>
      </c>
      <c r="V120" s="7">
        <f>100-(M$436-Tabell2[[#This Row],[Beftettotal-T]])*100/M$439</f>
        <v>38.656193480773844</v>
      </c>
      <c r="W120" s="7">
        <f>100-(N$436-Tabell2[[#This Row],[Befvekst10-T]])*100/N$439</f>
        <v>100</v>
      </c>
      <c r="X120" s="7">
        <f>100-(O$436-Tabell2[[#This Row],[Kvinneandel-T]])*100/O$439</f>
        <v>68.771291154893461</v>
      </c>
      <c r="Y120" s="7">
        <f>(P$436-Tabell2[[#This Row],[Eldreandel-T]])*100/P$439</f>
        <v>81.490661644889386</v>
      </c>
      <c r="Z120" s="7">
        <f>100-(Q$436-Tabell2[[#This Row],[Sysselsettingsvekst10-T]])*100/Q$439</f>
        <v>78.4009157342241</v>
      </c>
      <c r="AA120" s="7">
        <f>100-(R$436-Tabell2[[#This Row],[Yrkesaktivandel-T]])*100/R$439</f>
        <v>28.832939872328438</v>
      </c>
      <c r="AB120" s="7">
        <f>100-(S$436-Tabell2[[#This Row],[Inntekt-T]])*100/S$439</f>
        <v>69.723705595542143</v>
      </c>
      <c r="AC120" s="55">
        <f>Tabell2[[#This Row],[NIBR11-I]]*Vekter!$B$3</f>
        <v>18</v>
      </c>
      <c r="AD120" s="55">
        <f>Tabell2[[#This Row],[ReisetidOslo-I]]*Vekter!$C$3</f>
        <v>10</v>
      </c>
      <c r="AE120" s="55">
        <f>Tabell2[[#This Row],[Beftettotal-I]]*Vekter!$D$3</f>
        <v>3.8656193480773844</v>
      </c>
      <c r="AF120" s="55">
        <f>Tabell2[[#This Row],[Befvekst10-I]]*Vekter!$E$3</f>
        <v>20</v>
      </c>
      <c r="AG120" s="55">
        <f>Tabell2[[#This Row],[Kvinneandel-I]]*Vekter!$F$3</f>
        <v>3.4385645577446731</v>
      </c>
      <c r="AH120" s="55">
        <f>Tabell2[[#This Row],[Eldreandel-I]]*Vekter!$G$3</f>
        <v>4.0745330822444696</v>
      </c>
      <c r="AI120" s="55">
        <f>Tabell2[[#This Row],[Sysselsettingsvekst10-I]]*Vekter!$H$3</f>
        <v>7.8400915734224101</v>
      </c>
      <c r="AJ120" s="55">
        <f>Tabell2[[#This Row],[Yrkesaktivandel-I]]*Vekter!$J$3</f>
        <v>2.883293987232844</v>
      </c>
      <c r="AK120" s="55">
        <f>Tabell2[[#This Row],[Inntekt-I]]*Vekter!$L$3</f>
        <v>6.9723705595542143</v>
      </c>
      <c r="AL120" s="56">
        <f>SUM(Tabell2[[#This Row],[NIBR11-v]:[Inntekt-v]])</f>
        <v>77.07447310827601</v>
      </c>
    </row>
    <row r="121" spans="1:38" x14ac:dyDescent="0.25">
      <c r="A121" s="2" t="s">
        <v>118</v>
      </c>
      <c r="B121">
        <f>'Rådata-K'!M120</f>
        <v>2</v>
      </c>
      <c r="C121" s="7">
        <f>'Rådata-K'!L120</f>
        <v>51.383333333300001</v>
      </c>
      <c r="D121" s="34">
        <f>'Rådata-K'!N120</f>
        <v>19.090240313879352</v>
      </c>
      <c r="E121" s="34">
        <f>'Rådata-K'!O120</f>
        <v>2.1653543307086576E-2</v>
      </c>
      <c r="F121" s="34">
        <f>'Rådata-K'!P120</f>
        <v>0.10822093770070648</v>
      </c>
      <c r="G121" s="34">
        <f>'Rådata-K'!Q120</f>
        <v>0.14611432241490044</v>
      </c>
      <c r="H121" s="34">
        <f>'Rådata-K'!R120</f>
        <v>0.12741751990898753</v>
      </c>
      <c r="I121" s="34">
        <f>'Rådata-K'!S120</f>
        <v>0.88646532438478742</v>
      </c>
      <c r="J121" s="22">
        <f>'Rådata-K'!K120</f>
        <v>383300</v>
      </c>
      <c r="K121" s="22">
        <f>Tabell2[[#This Row],[NIBR11]]</f>
        <v>2</v>
      </c>
      <c r="L121" s="32">
        <f>IF(Tabell2[[#This Row],[ReisetidOslo]]&lt;=C$434,C$434,IF(Tabell2[[#This Row],[ReisetidOslo]]&gt;=C$435,C$435,Tabell2[[#This Row],[ReisetidOslo]]))</f>
        <v>52.54</v>
      </c>
      <c r="M121" s="32">
        <f>IF(Tabell2[[#This Row],[Beftettotal]]&lt;=D$434,D$434,IF(Tabell2[[#This Row],[Beftettotal]]&gt;=D$435,D$435,Tabell2[[#This Row],[Beftettotal]]))</f>
        <v>19.090240313879352</v>
      </c>
      <c r="N121" s="34">
        <f>IF(Tabell2[[#This Row],[Befvekst10]]&lt;=E$434,E$434,IF(Tabell2[[#This Row],[Befvekst10]]&gt;=E$435,E$435,Tabell2[[#This Row],[Befvekst10]]))</f>
        <v>2.1653543307086576E-2</v>
      </c>
      <c r="O121" s="34">
        <f>IF(Tabell2[[#This Row],[Kvinneandel]]&lt;=F$434,F$434,IF(Tabell2[[#This Row],[Kvinneandel]]&gt;=F$435,F$435,Tabell2[[#This Row],[Kvinneandel]]))</f>
        <v>0.10822093770070648</v>
      </c>
      <c r="P121" s="34">
        <f>IF(Tabell2[[#This Row],[Eldreandel]]&lt;=G$434,G$434,IF(Tabell2[[#This Row],[Eldreandel]]&gt;=G$435,G$435,Tabell2[[#This Row],[Eldreandel]]))</f>
        <v>0.14611432241490044</v>
      </c>
      <c r="Q121" s="34">
        <f>IF(Tabell2[[#This Row],[Sysselsettingsvekst10]]&lt;=H$434,H$434,IF(Tabell2[[#This Row],[Sysselsettingsvekst10]]&gt;=H$435,H$435,Tabell2[[#This Row],[Sysselsettingsvekst10]]))</f>
        <v>0.12741751990898753</v>
      </c>
      <c r="R121" s="34">
        <f>IF(Tabell2[[#This Row],[Yrkesaktivandel]]&lt;=I$434,I$434,IF(Tabell2[[#This Row],[Yrkesaktivandel]]&gt;=I$435,I$435,Tabell2[[#This Row],[Yrkesaktivandel]]))</f>
        <v>0.88646532438478742</v>
      </c>
      <c r="S121" s="22">
        <f>IF(Tabell2[[#This Row],[Inntekt]]&lt;=J$434,J$434,IF(Tabell2[[#This Row],[Inntekt]]&gt;=J$435,J$435,Tabell2[[#This Row],[Inntekt]]))</f>
        <v>383300</v>
      </c>
      <c r="T121" s="22">
        <f>IF(Tabell2[[#This Row],[NIBR11-T]]&lt;=K$437,100,IF(Tabell2[[#This Row],[NIBR11-T]]&gt;=K$436,0,100*(K$436-Tabell2[[#This Row],[NIBR11-T]])/K$439))</f>
        <v>90</v>
      </c>
      <c r="U121" s="7">
        <f>IF(Tabell2[[#This Row],[ReisetidOslo-T]]&lt;=L$437,100,IF(Tabell2[[#This Row],[ReisetidOslo-T]]&gt;=L$436,0,100*(L$436-Tabell2[[#This Row],[ReisetidOslo-T]])/L$439))</f>
        <v>100</v>
      </c>
      <c r="V121" s="7">
        <f>100-(M$436-Tabell2[[#This Row],[Beftettotal-T]])*100/M$439</f>
        <v>13.738979224485277</v>
      </c>
      <c r="W121" s="7">
        <f>100-(N$436-Tabell2[[#This Row],[Befvekst10-T]])*100/N$439</f>
        <v>39.397865918539132</v>
      </c>
      <c r="X121" s="7">
        <f>100-(O$436-Tabell2[[#This Row],[Kvinneandel-T]])*100/O$439</f>
        <v>46.853153375080794</v>
      </c>
      <c r="Y121" s="7">
        <f>(P$436-Tabell2[[#This Row],[Eldreandel-T]])*100/P$439</f>
        <v>74.807648442842364</v>
      </c>
      <c r="Z121" s="7">
        <f>100-(Q$436-Tabell2[[#This Row],[Sysselsettingsvekst10-T]])*100/Q$439</f>
        <v>58.660486673029482</v>
      </c>
      <c r="AA121" s="7">
        <f>100-(R$436-Tabell2[[#This Row],[Yrkesaktivandel-T]])*100/R$439</f>
        <v>41.896754504808406</v>
      </c>
      <c r="AB121" s="7">
        <f>100-(S$436-Tabell2[[#This Row],[Inntekt-T]])*100/S$439</f>
        <v>59.9721383793824</v>
      </c>
      <c r="AC121" s="55">
        <f>Tabell2[[#This Row],[NIBR11-I]]*Vekter!$B$3</f>
        <v>18</v>
      </c>
      <c r="AD121" s="55">
        <f>Tabell2[[#This Row],[ReisetidOslo-I]]*Vekter!$C$3</f>
        <v>10</v>
      </c>
      <c r="AE121" s="55">
        <f>Tabell2[[#This Row],[Beftettotal-I]]*Vekter!$D$3</f>
        <v>1.3738979224485277</v>
      </c>
      <c r="AF121" s="55">
        <f>Tabell2[[#This Row],[Befvekst10-I]]*Vekter!$E$3</f>
        <v>7.8795731837078264</v>
      </c>
      <c r="AG121" s="55">
        <f>Tabell2[[#This Row],[Kvinneandel-I]]*Vekter!$F$3</f>
        <v>2.3426576687540397</v>
      </c>
      <c r="AH121" s="55">
        <f>Tabell2[[#This Row],[Eldreandel-I]]*Vekter!$G$3</f>
        <v>3.7403824221421185</v>
      </c>
      <c r="AI121" s="55">
        <f>Tabell2[[#This Row],[Sysselsettingsvekst10-I]]*Vekter!$H$3</f>
        <v>5.8660486673029482</v>
      </c>
      <c r="AJ121" s="55">
        <f>Tabell2[[#This Row],[Yrkesaktivandel-I]]*Vekter!$J$3</f>
        <v>4.1896754504808404</v>
      </c>
      <c r="AK121" s="55">
        <f>Tabell2[[#This Row],[Inntekt-I]]*Vekter!$L$3</f>
        <v>5.99721383793824</v>
      </c>
      <c r="AL121" s="56">
        <f>SUM(Tabell2[[#This Row],[NIBR11-v]:[Inntekt-v]])</f>
        <v>59.389449152774546</v>
      </c>
    </row>
    <row r="122" spans="1:38" x14ac:dyDescent="0.25">
      <c r="A122" s="2" t="s">
        <v>119</v>
      </c>
      <c r="B122">
        <f>'Rådata-K'!M121</f>
        <v>2</v>
      </c>
      <c r="C122" s="7">
        <f>'Rådata-K'!L121</f>
        <v>59.516666666699997</v>
      </c>
      <c r="D122" s="34">
        <f>'Rådata-K'!N121</f>
        <v>41.186682097391618</v>
      </c>
      <c r="E122" s="34">
        <f>'Rådata-K'!O121</f>
        <v>0.13089709117575166</v>
      </c>
      <c r="F122" s="34">
        <f>'Rådata-K'!P121</f>
        <v>0.12039338592888793</v>
      </c>
      <c r="G122" s="34">
        <f>'Rådata-K'!Q121</f>
        <v>0.12666162325732194</v>
      </c>
      <c r="H122" s="34">
        <f>'Rådata-K'!R121</f>
        <v>0.26800929512006189</v>
      </c>
      <c r="I122" s="34">
        <f>'Rådata-K'!S121</f>
        <v>0.89693746561525767</v>
      </c>
      <c r="J122" s="22">
        <f>'Rådata-K'!K121</f>
        <v>380400</v>
      </c>
      <c r="K122" s="22">
        <f>Tabell2[[#This Row],[NIBR11]]</f>
        <v>2</v>
      </c>
      <c r="L122" s="32">
        <f>IF(Tabell2[[#This Row],[ReisetidOslo]]&lt;=C$434,C$434,IF(Tabell2[[#This Row],[ReisetidOslo]]&gt;=C$435,C$435,Tabell2[[#This Row],[ReisetidOslo]]))</f>
        <v>59.516666666699997</v>
      </c>
      <c r="M122" s="32">
        <f>IF(Tabell2[[#This Row],[Beftettotal]]&lt;=D$434,D$434,IF(Tabell2[[#This Row],[Beftettotal]]&gt;=D$435,D$435,Tabell2[[#This Row],[Beftettotal]]))</f>
        <v>41.186682097391618</v>
      </c>
      <c r="N122" s="34">
        <f>IF(Tabell2[[#This Row],[Befvekst10]]&lt;=E$434,E$434,IF(Tabell2[[#This Row],[Befvekst10]]&gt;=E$435,E$435,Tabell2[[#This Row],[Befvekst10]]))</f>
        <v>0.13089709117575166</v>
      </c>
      <c r="O122" s="34">
        <f>IF(Tabell2[[#This Row],[Kvinneandel]]&lt;=F$434,F$434,IF(Tabell2[[#This Row],[Kvinneandel]]&gt;=F$435,F$435,Tabell2[[#This Row],[Kvinneandel]]))</f>
        <v>0.12039338592888793</v>
      </c>
      <c r="P122" s="34">
        <f>IF(Tabell2[[#This Row],[Eldreandel]]&lt;=G$434,G$434,IF(Tabell2[[#This Row],[Eldreandel]]&gt;=G$435,G$435,Tabell2[[#This Row],[Eldreandel]]))</f>
        <v>0.12666162325732194</v>
      </c>
      <c r="Q122" s="34">
        <f>IF(Tabell2[[#This Row],[Sysselsettingsvekst10]]&lt;=H$434,H$434,IF(Tabell2[[#This Row],[Sysselsettingsvekst10]]&gt;=H$435,H$435,Tabell2[[#This Row],[Sysselsettingsvekst10]]))</f>
        <v>0.26635476409167841</v>
      </c>
      <c r="R122" s="34">
        <f>IF(Tabell2[[#This Row],[Yrkesaktivandel]]&lt;=I$434,I$434,IF(Tabell2[[#This Row],[Yrkesaktivandel]]&gt;=I$435,I$435,Tabell2[[#This Row],[Yrkesaktivandel]]))</f>
        <v>0.89693746561525767</v>
      </c>
      <c r="S122" s="22">
        <f>IF(Tabell2[[#This Row],[Inntekt]]&lt;=J$434,J$434,IF(Tabell2[[#This Row],[Inntekt]]&gt;=J$435,J$435,Tabell2[[#This Row],[Inntekt]]))</f>
        <v>380400</v>
      </c>
      <c r="T122" s="22">
        <f>IF(Tabell2[[#This Row],[NIBR11-T]]&lt;=K$437,100,IF(Tabell2[[#This Row],[NIBR11-T]]&gt;=K$436,0,100*(K$436-Tabell2[[#This Row],[NIBR11-T]])/K$439))</f>
        <v>90</v>
      </c>
      <c r="U122" s="7">
        <f>IF(Tabell2[[#This Row],[ReisetidOslo-T]]&lt;=L$437,100,IF(Tabell2[[#This Row],[ReisetidOslo-T]]&gt;=L$436,0,100*(L$436-Tabell2[[#This Row],[ReisetidOslo-T]])/L$439))</f>
        <v>96.938939670918046</v>
      </c>
      <c r="V122" s="7">
        <f>100-(M$436-Tabell2[[#This Row],[Beftettotal-T]])*100/M$439</f>
        <v>30.832140922396874</v>
      </c>
      <c r="W122" s="7">
        <f>100-(N$436-Tabell2[[#This Row],[Befvekst10-T]])*100/N$439</f>
        <v>83.383311602078663</v>
      </c>
      <c r="X122" s="7">
        <f>100-(O$436-Tabell2[[#This Row],[Kvinneandel-T]])*100/O$439</f>
        <v>79.01862225412475</v>
      </c>
      <c r="Y122" s="7">
        <f>(P$436-Tabell2[[#This Row],[Eldreandel-T]])*100/P$439</f>
        <v>96.122981251402265</v>
      </c>
      <c r="Z122" s="7">
        <f>100-(Q$436-Tabell2[[#This Row],[Sysselsettingsvekst10-T]])*100/Q$439</f>
        <v>100</v>
      </c>
      <c r="AA122" s="7">
        <f>100-(R$436-Tabell2[[#This Row],[Yrkesaktivandel-T]])*100/R$439</f>
        <v>49.948697488361404</v>
      </c>
      <c r="AB122" s="7">
        <f>100-(S$436-Tabell2[[#This Row],[Inntekt-T]])*100/S$439</f>
        <v>56.605525888089154</v>
      </c>
      <c r="AC122" s="55">
        <f>Tabell2[[#This Row],[NIBR11-I]]*Vekter!$B$3</f>
        <v>18</v>
      </c>
      <c r="AD122" s="55">
        <f>Tabell2[[#This Row],[ReisetidOslo-I]]*Vekter!$C$3</f>
        <v>9.693893967091805</v>
      </c>
      <c r="AE122" s="55">
        <f>Tabell2[[#This Row],[Beftettotal-I]]*Vekter!$D$3</f>
        <v>3.0832140922396878</v>
      </c>
      <c r="AF122" s="55">
        <f>Tabell2[[#This Row],[Befvekst10-I]]*Vekter!$E$3</f>
        <v>16.676662320415733</v>
      </c>
      <c r="AG122" s="55">
        <f>Tabell2[[#This Row],[Kvinneandel-I]]*Vekter!$F$3</f>
        <v>3.9509311127062379</v>
      </c>
      <c r="AH122" s="55">
        <f>Tabell2[[#This Row],[Eldreandel-I]]*Vekter!$G$3</f>
        <v>4.806149062570114</v>
      </c>
      <c r="AI122" s="55">
        <f>Tabell2[[#This Row],[Sysselsettingsvekst10-I]]*Vekter!$H$3</f>
        <v>10</v>
      </c>
      <c r="AJ122" s="55">
        <f>Tabell2[[#This Row],[Yrkesaktivandel-I]]*Vekter!$J$3</f>
        <v>4.9948697488361411</v>
      </c>
      <c r="AK122" s="55">
        <f>Tabell2[[#This Row],[Inntekt-I]]*Vekter!$L$3</f>
        <v>5.6605525888089154</v>
      </c>
      <c r="AL122" s="56">
        <f>SUM(Tabell2[[#This Row],[NIBR11-v]:[Inntekt-v]])</f>
        <v>76.866272892668619</v>
      </c>
    </row>
    <row r="123" spans="1:38" x14ac:dyDescent="0.25">
      <c r="A123" s="2" t="s">
        <v>120</v>
      </c>
      <c r="B123">
        <f>'Rådata-K'!M122</f>
        <v>2</v>
      </c>
      <c r="C123" s="7">
        <f>'Rådata-K'!L122</f>
        <v>72.3</v>
      </c>
      <c r="D123" s="34">
        <f>'Rådata-K'!N122</f>
        <v>31.522323830016138</v>
      </c>
      <c r="E123" s="34">
        <f>'Rådata-K'!O122</f>
        <v>0.15286248278575654</v>
      </c>
      <c r="F123" s="34">
        <f>'Rådata-K'!P122</f>
        <v>0.13344709897610921</v>
      </c>
      <c r="G123" s="34">
        <f>'Rådata-K'!Q122</f>
        <v>0.12491467576791809</v>
      </c>
      <c r="H123" s="34">
        <f>'Rådata-K'!R122</f>
        <v>0.2367322599880739</v>
      </c>
      <c r="I123" s="34">
        <f>'Rådata-K'!S122</f>
        <v>0.87007092198581559</v>
      </c>
      <c r="J123" s="22">
        <f>'Rådata-K'!K122</f>
        <v>367400</v>
      </c>
      <c r="K123" s="22">
        <f>Tabell2[[#This Row],[NIBR11]]</f>
        <v>2</v>
      </c>
      <c r="L123" s="32">
        <f>IF(Tabell2[[#This Row],[ReisetidOslo]]&lt;=C$434,C$434,IF(Tabell2[[#This Row],[ReisetidOslo]]&gt;=C$435,C$435,Tabell2[[#This Row],[ReisetidOslo]]))</f>
        <v>72.3</v>
      </c>
      <c r="M123" s="32">
        <f>IF(Tabell2[[#This Row],[Beftettotal]]&lt;=D$434,D$434,IF(Tabell2[[#This Row],[Beftettotal]]&gt;=D$435,D$435,Tabell2[[#This Row],[Beftettotal]]))</f>
        <v>31.522323830016138</v>
      </c>
      <c r="N123" s="34">
        <f>IF(Tabell2[[#This Row],[Befvekst10]]&lt;=E$434,E$434,IF(Tabell2[[#This Row],[Befvekst10]]&gt;=E$435,E$435,Tabell2[[#This Row],[Befvekst10]]))</f>
        <v>0.15286248278575654</v>
      </c>
      <c r="O123" s="34">
        <f>IF(Tabell2[[#This Row],[Kvinneandel]]&lt;=F$434,F$434,IF(Tabell2[[#This Row],[Kvinneandel]]&gt;=F$435,F$435,Tabell2[[#This Row],[Kvinneandel]]))</f>
        <v>0.12833341426573511</v>
      </c>
      <c r="P123" s="34">
        <f>IF(Tabell2[[#This Row],[Eldreandel]]&lt;=G$434,G$434,IF(Tabell2[[#This Row],[Eldreandel]]&gt;=G$435,G$435,Tabell2[[#This Row],[Eldreandel]]))</f>
        <v>0.12491467576791809</v>
      </c>
      <c r="Q123" s="34">
        <f>IF(Tabell2[[#This Row],[Sysselsettingsvekst10]]&lt;=H$434,H$434,IF(Tabell2[[#This Row],[Sysselsettingsvekst10]]&gt;=H$435,H$435,Tabell2[[#This Row],[Sysselsettingsvekst10]]))</f>
        <v>0.2367322599880739</v>
      </c>
      <c r="R123" s="34">
        <f>IF(Tabell2[[#This Row],[Yrkesaktivandel]]&lt;=I$434,I$434,IF(Tabell2[[#This Row],[Yrkesaktivandel]]&gt;=I$435,I$435,Tabell2[[#This Row],[Yrkesaktivandel]]))</f>
        <v>0.87007092198581559</v>
      </c>
      <c r="S123" s="22">
        <f>IF(Tabell2[[#This Row],[Inntekt]]&lt;=J$434,J$434,IF(Tabell2[[#This Row],[Inntekt]]&gt;=J$435,J$435,Tabell2[[#This Row],[Inntekt]]))</f>
        <v>367400</v>
      </c>
      <c r="T123" s="22">
        <f>IF(Tabell2[[#This Row],[NIBR11-T]]&lt;=K$437,100,IF(Tabell2[[#This Row],[NIBR11-T]]&gt;=K$436,0,100*(K$436-Tabell2[[#This Row],[NIBR11-T]])/K$439))</f>
        <v>90</v>
      </c>
      <c r="U123" s="7">
        <f>IF(Tabell2[[#This Row],[ReisetidOslo-T]]&lt;=L$437,100,IF(Tabell2[[#This Row],[ReisetidOslo-T]]&gt;=L$436,0,100*(L$436-Tabell2[[#This Row],[ReisetidOslo-T]])/L$439))</f>
        <v>91.330164533821716</v>
      </c>
      <c r="V123" s="7">
        <f>100-(M$436-Tabell2[[#This Row],[Beftettotal-T]])*100/M$439</f>
        <v>23.356075762708528</v>
      </c>
      <c r="W123" s="7">
        <f>100-(N$436-Tabell2[[#This Row],[Befvekst10-T]])*100/N$439</f>
        <v>92.2273811918093</v>
      </c>
      <c r="X123" s="7">
        <f>100-(O$436-Tabell2[[#This Row],[Kvinneandel-T]])*100/O$439</f>
        <v>100</v>
      </c>
      <c r="Y123" s="7">
        <f>(P$436-Tabell2[[#This Row],[Eldreandel-T]])*100/P$439</f>
        <v>98.03720234915744</v>
      </c>
      <c r="Z123" s="7">
        <f>100-(Q$436-Tabell2[[#This Row],[Sysselsettingsvekst10-T]])*100/Q$439</f>
        <v>91.186093330316979</v>
      </c>
      <c r="AA123" s="7">
        <f>100-(R$436-Tabell2[[#This Row],[Yrkesaktivandel-T]])*100/R$439</f>
        <v>29.291233775021794</v>
      </c>
      <c r="AB123" s="7">
        <f>100-(S$436-Tabell2[[#This Row],[Inntekt-T]])*100/S$439</f>
        <v>41.513814720222896</v>
      </c>
      <c r="AC123" s="55">
        <f>Tabell2[[#This Row],[NIBR11-I]]*Vekter!$B$3</f>
        <v>18</v>
      </c>
      <c r="AD123" s="55">
        <f>Tabell2[[#This Row],[ReisetidOslo-I]]*Vekter!$C$3</f>
        <v>9.1330164533821723</v>
      </c>
      <c r="AE123" s="55">
        <f>Tabell2[[#This Row],[Beftettotal-I]]*Vekter!$D$3</f>
        <v>2.3356075762708528</v>
      </c>
      <c r="AF123" s="55">
        <f>Tabell2[[#This Row],[Befvekst10-I]]*Vekter!$E$3</f>
        <v>18.445476238361859</v>
      </c>
      <c r="AG123" s="55">
        <f>Tabell2[[#This Row],[Kvinneandel-I]]*Vekter!$F$3</f>
        <v>5</v>
      </c>
      <c r="AH123" s="55">
        <f>Tabell2[[#This Row],[Eldreandel-I]]*Vekter!$G$3</f>
        <v>4.901860117457872</v>
      </c>
      <c r="AI123" s="55">
        <f>Tabell2[[#This Row],[Sysselsettingsvekst10-I]]*Vekter!$H$3</f>
        <v>9.1186093330316975</v>
      </c>
      <c r="AJ123" s="55">
        <f>Tabell2[[#This Row],[Yrkesaktivandel-I]]*Vekter!$J$3</f>
        <v>2.9291233775021794</v>
      </c>
      <c r="AK123" s="55">
        <f>Tabell2[[#This Row],[Inntekt-I]]*Vekter!$L$3</f>
        <v>4.1513814720222895</v>
      </c>
      <c r="AL123" s="56">
        <f>SUM(Tabell2[[#This Row],[NIBR11-v]:[Inntekt-v]])</f>
        <v>74.015074568028922</v>
      </c>
    </row>
    <row r="124" spans="1:38" x14ac:dyDescent="0.25">
      <c r="A124" s="2" t="s">
        <v>121</v>
      </c>
      <c r="B124">
        <f>'Rådata-K'!M123</f>
        <v>2</v>
      </c>
      <c r="C124" s="7">
        <f>'Rådata-K'!L123</f>
        <v>69.166666666699996</v>
      </c>
      <c r="D124" s="34">
        <f>'Rådata-K'!N123</f>
        <v>97.211895910780669</v>
      </c>
      <c r="E124" s="34">
        <f>'Rådata-K'!O123</f>
        <v>0.14899141202316746</v>
      </c>
      <c r="F124" s="34">
        <f>'Rådata-K'!P123</f>
        <v>0.12402224926125499</v>
      </c>
      <c r="G124" s="34">
        <f>'Rådata-K'!Q123</f>
        <v>0.12515209455936033</v>
      </c>
      <c r="H124" s="34">
        <f>'Rådata-K'!R123</f>
        <v>0.37178241864982997</v>
      </c>
      <c r="I124" s="34">
        <f>'Rådata-K'!S123</f>
        <v>0.86610999136193489</v>
      </c>
      <c r="J124" s="22">
        <f>'Rådata-K'!K123</f>
        <v>370800</v>
      </c>
      <c r="K124" s="22">
        <f>Tabell2[[#This Row],[NIBR11]]</f>
        <v>2</v>
      </c>
      <c r="L124" s="32">
        <f>IF(Tabell2[[#This Row],[ReisetidOslo]]&lt;=C$434,C$434,IF(Tabell2[[#This Row],[ReisetidOslo]]&gt;=C$435,C$435,Tabell2[[#This Row],[ReisetidOslo]]))</f>
        <v>69.166666666699996</v>
      </c>
      <c r="M124" s="32">
        <f>IF(Tabell2[[#This Row],[Beftettotal]]&lt;=D$434,D$434,IF(Tabell2[[#This Row],[Beftettotal]]&gt;=D$435,D$435,Tabell2[[#This Row],[Beftettotal]]))</f>
        <v>97.211895910780669</v>
      </c>
      <c r="N124" s="34">
        <f>IF(Tabell2[[#This Row],[Befvekst10]]&lt;=E$434,E$434,IF(Tabell2[[#This Row],[Befvekst10]]&gt;=E$435,E$435,Tabell2[[#This Row],[Befvekst10]]))</f>
        <v>0.14899141202316746</v>
      </c>
      <c r="O124" s="34">
        <f>IF(Tabell2[[#This Row],[Kvinneandel]]&lt;=F$434,F$434,IF(Tabell2[[#This Row],[Kvinneandel]]&gt;=F$435,F$435,Tabell2[[#This Row],[Kvinneandel]]))</f>
        <v>0.12402224926125499</v>
      </c>
      <c r="P124" s="34">
        <f>IF(Tabell2[[#This Row],[Eldreandel]]&lt;=G$434,G$434,IF(Tabell2[[#This Row],[Eldreandel]]&gt;=G$435,G$435,Tabell2[[#This Row],[Eldreandel]]))</f>
        <v>0.12515209455936033</v>
      </c>
      <c r="Q124" s="34">
        <f>IF(Tabell2[[#This Row],[Sysselsettingsvekst10]]&lt;=H$434,H$434,IF(Tabell2[[#This Row],[Sysselsettingsvekst10]]&gt;=H$435,H$435,Tabell2[[#This Row],[Sysselsettingsvekst10]]))</f>
        <v>0.26635476409167841</v>
      </c>
      <c r="R124" s="34">
        <f>IF(Tabell2[[#This Row],[Yrkesaktivandel]]&lt;=I$434,I$434,IF(Tabell2[[#This Row],[Yrkesaktivandel]]&gt;=I$435,I$435,Tabell2[[#This Row],[Yrkesaktivandel]]))</f>
        <v>0.86610999136193489</v>
      </c>
      <c r="S124" s="22">
        <f>IF(Tabell2[[#This Row],[Inntekt]]&lt;=J$434,J$434,IF(Tabell2[[#This Row],[Inntekt]]&gt;=J$435,J$435,Tabell2[[#This Row],[Inntekt]]))</f>
        <v>370800</v>
      </c>
      <c r="T124" s="22">
        <f>IF(Tabell2[[#This Row],[NIBR11-T]]&lt;=K$437,100,IF(Tabell2[[#This Row],[NIBR11-T]]&gt;=K$436,0,100*(K$436-Tabell2[[#This Row],[NIBR11-T]])/K$439))</f>
        <v>90</v>
      </c>
      <c r="U124" s="7">
        <f>IF(Tabell2[[#This Row],[ReisetidOslo-T]]&lt;=L$437,100,IF(Tabell2[[#This Row],[ReisetidOslo-T]]&gt;=L$436,0,100*(L$436-Tabell2[[#This Row],[ReisetidOslo-T]])/L$439))</f>
        <v>92.704936014611363</v>
      </c>
      <c r="V124" s="7">
        <f>100-(M$436-Tabell2[[#This Row],[Beftettotal-T]])*100/M$439</f>
        <v>74.171609251949278</v>
      </c>
      <c r="W124" s="7">
        <f>100-(N$436-Tabell2[[#This Row],[Befvekst10-T]])*100/N$439</f>
        <v>90.668746598856472</v>
      </c>
      <c r="X124" s="7">
        <f>100-(O$436-Tabell2[[#This Row],[Kvinneandel-T]])*100/O$439</f>
        <v>88.60782636454509</v>
      </c>
      <c r="Y124" s="7">
        <f>(P$436-Tabell2[[#This Row],[Eldreandel-T]])*100/P$439</f>
        <v>97.777050248227752</v>
      </c>
      <c r="Z124" s="7">
        <f>100-(Q$436-Tabell2[[#This Row],[Sysselsettingsvekst10-T]])*100/Q$439</f>
        <v>100</v>
      </c>
      <c r="AA124" s="7">
        <f>100-(R$436-Tabell2[[#This Row],[Yrkesaktivandel-T]])*100/R$439</f>
        <v>26.245706901062292</v>
      </c>
      <c r="AB124" s="7">
        <f>100-(S$436-Tabell2[[#This Row],[Inntekt-T]])*100/S$439</f>
        <v>45.460877641049457</v>
      </c>
      <c r="AC124" s="55">
        <f>Tabell2[[#This Row],[NIBR11-I]]*Vekter!$B$3</f>
        <v>18</v>
      </c>
      <c r="AD124" s="55">
        <f>Tabell2[[#This Row],[ReisetidOslo-I]]*Vekter!$C$3</f>
        <v>9.270493601461137</v>
      </c>
      <c r="AE124" s="55">
        <f>Tabell2[[#This Row],[Beftettotal-I]]*Vekter!$D$3</f>
        <v>7.4171609251949278</v>
      </c>
      <c r="AF124" s="55">
        <f>Tabell2[[#This Row],[Befvekst10-I]]*Vekter!$E$3</f>
        <v>18.133749319771294</v>
      </c>
      <c r="AG124" s="55">
        <f>Tabell2[[#This Row],[Kvinneandel-I]]*Vekter!$F$3</f>
        <v>4.4303913182272545</v>
      </c>
      <c r="AH124" s="55">
        <f>Tabell2[[#This Row],[Eldreandel-I]]*Vekter!$G$3</f>
        <v>4.888852512411388</v>
      </c>
      <c r="AI124" s="55">
        <f>Tabell2[[#This Row],[Sysselsettingsvekst10-I]]*Vekter!$H$3</f>
        <v>10</v>
      </c>
      <c r="AJ124" s="55">
        <f>Tabell2[[#This Row],[Yrkesaktivandel-I]]*Vekter!$J$3</f>
        <v>2.6245706901062293</v>
      </c>
      <c r="AK124" s="55">
        <f>Tabell2[[#This Row],[Inntekt-I]]*Vekter!$L$3</f>
        <v>4.5460877641049455</v>
      </c>
      <c r="AL124" s="56">
        <f>SUM(Tabell2[[#This Row],[NIBR11-v]:[Inntekt-v]])</f>
        <v>79.311306131277163</v>
      </c>
    </row>
    <row r="125" spans="1:38" x14ac:dyDescent="0.25">
      <c r="A125" s="2" t="s">
        <v>122</v>
      </c>
      <c r="B125">
        <f>'Rådata-K'!M124</f>
        <v>2</v>
      </c>
      <c r="C125" s="7">
        <f>'Rådata-K'!L124</f>
        <v>71.966666666699993</v>
      </c>
      <c r="D125" s="34">
        <f>'Rådata-K'!N124</f>
        <v>354.73910171730512</v>
      </c>
      <c r="E125" s="34">
        <f>'Rådata-K'!O124</f>
        <v>7.2969733293377192E-2</v>
      </c>
      <c r="F125" s="34">
        <f>'Rådata-K'!P124</f>
        <v>0.11022669087185216</v>
      </c>
      <c r="G125" s="34">
        <f>'Rådata-K'!Q124</f>
        <v>0.16343155052832473</v>
      </c>
      <c r="H125" s="34">
        <f>'Rådata-K'!R124</f>
        <v>0.21397213208627597</v>
      </c>
      <c r="I125" s="34">
        <f>'Rådata-K'!S124</f>
        <v>0.86645272772155024</v>
      </c>
      <c r="J125" s="22">
        <f>'Rådata-K'!K124</f>
        <v>420100</v>
      </c>
      <c r="K125" s="22">
        <f>Tabell2[[#This Row],[NIBR11]]</f>
        <v>2</v>
      </c>
      <c r="L125" s="32">
        <f>IF(Tabell2[[#This Row],[ReisetidOslo]]&lt;=C$434,C$434,IF(Tabell2[[#This Row],[ReisetidOslo]]&gt;=C$435,C$435,Tabell2[[#This Row],[ReisetidOslo]]))</f>
        <v>71.966666666699993</v>
      </c>
      <c r="M125" s="32">
        <f>IF(Tabell2[[#This Row],[Beftettotal]]&lt;=D$434,D$434,IF(Tabell2[[#This Row],[Beftettotal]]&gt;=D$435,D$435,Tabell2[[#This Row],[Beftettotal]]))</f>
        <v>130.60042534801397</v>
      </c>
      <c r="N125" s="34">
        <f>IF(Tabell2[[#This Row],[Befvekst10]]&lt;=E$434,E$434,IF(Tabell2[[#This Row],[Befvekst10]]&gt;=E$435,E$435,Tabell2[[#This Row],[Befvekst10]]))</f>
        <v>7.2969733293377192E-2</v>
      </c>
      <c r="O125" s="34">
        <f>IF(Tabell2[[#This Row],[Kvinneandel]]&lt;=F$434,F$434,IF(Tabell2[[#This Row],[Kvinneandel]]&gt;=F$435,F$435,Tabell2[[#This Row],[Kvinneandel]]))</f>
        <v>0.11022669087185216</v>
      </c>
      <c r="P125" s="34">
        <f>IF(Tabell2[[#This Row],[Eldreandel]]&lt;=G$434,G$434,IF(Tabell2[[#This Row],[Eldreandel]]&gt;=G$435,G$435,Tabell2[[#This Row],[Eldreandel]]))</f>
        <v>0.16343155052832473</v>
      </c>
      <c r="Q125" s="34">
        <f>IF(Tabell2[[#This Row],[Sysselsettingsvekst10]]&lt;=H$434,H$434,IF(Tabell2[[#This Row],[Sysselsettingsvekst10]]&gt;=H$435,H$435,Tabell2[[#This Row],[Sysselsettingsvekst10]]))</f>
        <v>0.21397213208627597</v>
      </c>
      <c r="R125" s="34">
        <f>IF(Tabell2[[#This Row],[Yrkesaktivandel]]&lt;=I$434,I$434,IF(Tabell2[[#This Row],[Yrkesaktivandel]]&gt;=I$435,I$435,Tabell2[[#This Row],[Yrkesaktivandel]]))</f>
        <v>0.86645272772155024</v>
      </c>
      <c r="S125" s="22">
        <f>IF(Tabell2[[#This Row],[Inntekt]]&lt;=J$434,J$434,IF(Tabell2[[#This Row],[Inntekt]]&gt;=J$435,J$435,Tabell2[[#This Row],[Inntekt]]))</f>
        <v>417780</v>
      </c>
      <c r="T125" s="22">
        <f>IF(Tabell2[[#This Row],[NIBR11-T]]&lt;=K$437,100,IF(Tabell2[[#This Row],[NIBR11-T]]&gt;=K$436,0,100*(K$436-Tabell2[[#This Row],[NIBR11-T]])/K$439))</f>
        <v>90</v>
      </c>
      <c r="U125" s="7">
        <f>IF(Tabell2[[#This Row],[ReisetidOslo-T]]&lt;=L$437,100,IF(Tabell2[[#This Row],[ReisetidOslo-T]]&gt;=L$436,0,100*(L$436-Tabell2[[#This Row],[ReisetidOslo-T]])/L$439))</f>
        <v>91.476416818999041</v>
      </c>
      <c r="V125" s="7">
        <f>100-(M$436-Tabell2[[#This Row],[Beftettotal-T]])*100/M$439</f>
        <v>100</v>
      </c>
      <c r="W125" s="7">
        <f>100-(N$436-Tabell2[[#This Row],[Befvekst10-T]])*100/N$439</f>
        <v>60.059639829816653</v>
      </c>
      <c r="X125" s="7">
        <f>100-(O$436-Tabell2[[#This Row],[Kvinneandel-T]])*100/O$439</f>
        <v>52.153318961832994</v>
      </c>
      <c r="Y125" s="7">
        <f>(P$436-Tabell2[[#This Row],[Eldreandel-T]])*100/P$439</f>
        <v>55.83226217026003</v>
      </c>
      <c r="Z125" s="7">
        <f>100-(Q$436-Tabell2[[#This Row],[Sysselsettingsvekst10-T]])*100/Q$439</f>
        <v>84.414024283929862</v>
      </c>
      <c r="AA125" s="7">
        <f>100-(R$436-Tabell2[[#This Row],[Yrkesaktivandel-T]])*100/R$439</f>
        <v>26.509234059957336</v>
      </c>
      <c r="AB125" s="7">
        <f>100-(S$436-Tabell2[[#This Row],[Inntekt-T]])*100/S$439</f>
        <v>100</v>
      </c>
      <c r="AC125" s="55">
        <f>Tabell2[[#This Row],[NIBR11-I]]*Vekter!$B$3</f>
        <v>18</v>
      </c>
      <c r="AD125" s="55">
        <f>Tabell2[[#This Row],[ReisetidOslo-I]]*Vekter!$C$3</f>
        <v>9.1476416818999038</v>
      </c>
      <c r="AE125" s="55">
        <f>Tabell2[[#This Row],[Beftettotal-I]]*Vekter!$D$3</f>
        <v>10</v>
      </c>
      <c r="AF125" s="55">
        <f>Tabell2[[#This Row],[Befvekst10-I]]*Vekter!$E$3</f>
        <v>12.011927965963331</v>
      </c>
      <c r="AG125" s="55">
        <f>Tabell2[[#This Row],[Kvinneandel-I]]*Vekter!$F$3</f>
        <v>2.60766594809165</v>
      </c>
      <c r="AH125" s="55">
        <f>Tabell2[[#This Row],[Eldreandel-I]]*Vekter!$G$3</f>
        <v>2.7916131085130016</v>
      </c>
      <c r="AI125" s="55">
        <f>Tabell2[[#This Row],[Sysselsettingsvekst10-I]]*Vekter!$H$3</f>
        <v>8.4414024283929869</v>
      </c>
      <c r="AJ125" s="55">
        <f>Tabell2[[#This Row],[Yrkesaktivandel-I]]*Vekter!$J$3</f>
        <v>2.6509234059957336</v>
      </c>
      <c r="AK125" s="55">
        <f>Tabell2[[#This Row],[Inntekt-I]]*Vekter!$L$3</f>
        <v>10</v>
      </c>
      <c r="AL125" s="56">
        <f>SUM(Tabell2[[#This Row],[NIBR11-v]:[Inntekt-v]])</f>
        <v>75.651174538856623</v>
      </c>
    </row>
    <row r="126" spans="1:38" x14ac:dyDescent="0.25">
      <c r="A126" s="2" t="s">
        <v>123</v>
      </c>
      <c r="B126">
        <f>'Rådata-K'!M125</f>
        <v>3</v>
      </c>
      <c r="C126" s="7">
        <f>'Rådata-K'!L125</f>
        <v>86.533333333300007</v>
      </c>
      <c r="D126" s="34">
        <f>'Rådata-K'!N125</f>
        <v>125.93908629441624</v>
      </c>
      <c r="E126" s="34">
        <f>'Rådata-K'!O125</f>
        <v>8.2933216935835885E-2</v>
      </c>
      <c r="F126" s="34">
        <f>'Rådata-K'!P125</f>
        <v>0.10318419991938735</v>
      </c>
      <c r="G126" s="34">
        <f>'Rådata-K'!Q125</f>
        <v>0.17311567916162837</v>
      </c>
      <c r="H126" s="34">
        <f>'Rådata-K'!R125</f>
        <v>0.12614870509607345</v>
      </c>
      <c r="I126" s="34">
        <f>'Rådata-K'!S125</f>
        <v>0.81466395112016299</v>
      </c>
      <c r="J126" s="22">
        <f>'Rådata-K'!K125</f>
        <v>392700</v>
      </c>
      <c r="K126" s="22">
        <f>Tabell2[[#This Row],[NIBR11]]</f>
        <v>3</v>
      </c>
      <c r="L126" s="32">
        <f>IF(Tabell2[[#This Row],[ReisetidOslo]]&lt;=C$434,C$434,IF(Tabell2[[#This Row],[ReisetidOslo]]&gt;=C$435,C$435,Tabell2[[#This Row],[ReisetidOslo]]))</f>
        <v>86.533333333300007</v>
      </c>
      <c r="M126" s="32">
        <f>IF(Tabell2[[#This Row],[Beftettotal]]&lt;=D$434,D$434,IF(Tabell2[[#This Row],[Beftettotal]]&gt;=D$435,D$435,Tabell2[[#This Row],[Beftettotal]]))</f>
        <v>125.93908629441624</v>
      </c>
      <c r="N126" s="34">
        <f>IF(Tabell2[[#This Row],[Befvekst10]]&lt;=E$434,E$434,IF(Tabell2[[#This Row],[Befvekst10]]&gt;=E$435,E$435,Tabell2[[#This Row],[Befvekst10]]))</f>
        <v>8.2933216935835885E-2</v>
      </c>
      <c r="O126" s="34">
        <f>IF(Tabell2[[#This Row],[Kvinneandel]]&lt;=F$434,F$434,IF(Tabell2[[#This Row],[Kvinneandel]]&gt;=F$435,F$435,Tabell2[[#This Row],[Kvinneandel]]))</f>
        <v>0.10318419991938735</v>
      </c>
      <c r="P126" s="34">
        <f>IF(Tabell2[[#This Row],[Eldreandel]]&lt;=G$434,G$434,IF(Tabell2[[#This Row],[Eldreandel]]&gt;=G$435,G$435,Tabell2[[#This Row],[Eldreandel]]))</f>
        <v>0.17311567916162837</v>
      </c>
      <c r="Q126" s="34">
        <f>IF(Tabell2[[#This Row],[Sysselsettingsvekst10]]&lt;=H$434,H$434,IF(Tabell2[[#This Row],[Sysselsettingsvekst10]]&gt;=H$435,H$435,Tabell2[[#This Row],[Sysselsettingsvekst10]]))</f>
        <v>0.12614870509607345</v>
      </c>
      <c r="R126" s="34">
        <f>IF(Tabell2[[#This Row],[Yrkesaktivandel]]&lt;=I$434,I$434,IF(Tabell2[[#This Row],[Yrkesaktivandel]]&gt;=I$435,I$435,Tabell2[[#This Row],[Yrkesaktivandel]]))</f>
        <v>0.83197552842263423</v>
      </c>
      <c r="S126" s="22">
        <f>IF(Tabell2[[#This Row],[Inntekt]]&lt;=J$434,J$434,IF(Tabell2[[#This Row],[Inntekt]]&gt;=J$435,J$435,Tabell2[[#This Row],[Inntekt]]))</f>
        <v>392700</v>
      </c>
      <c r="T126" s="22">
        <f>IF(Tabell2[[#This Row],[NIBR11-T]]&lt;=K$437,100,IF(Tabell2[[#This Row],[NIBR11-T]]&gt;=K$436,0,100*(K$436-Tabell2[[#This Row],[NIBR11-T]])/K$439))</f>
        <v>80</v>
      </c>
      <c r="U126" s="7">
        <f>IF(Tabell2[[#This Row],[ReisetidOslo-T]]&lt;=L$437,100,IF(Tabell2[[#This Row],[ReisetidOslo-T]]&gt;=L$436,0,100*(L$436-Tabell2[[#This Row],[ReisetidOslo-T]])/L$439))</f>
        <v>85.085191956140477</v>
      </c>
      <c r="V126" s="7">
        <f>100-(M$436-Tabell2[[#This Row],[Beftettotal-T]])*100/M$439</f>
        <v>96.394124314106136</v>
      </c>
      <c r="W126" s="7">
        <f>100-(N$436-Tabell2[[#This Row],[Befvekst10-T]])*100/N$439</f>
        <v>64.071302551546211</v>
      </c>
      <c r="X126" s="7">
        <f>100-(O$436-Tabell2[[#This Row],[Kvinneandel-T]])*100/O$439</f>
        <v>33.543667122196609</v>
      </c>
      <c r="Y126" s="7">
        <f>(P$436-Tabell2[[#This Row],[Eldreandel-T]])*100/P$439</f>
        <v>45.220859448835988</v>
      </c>
      <c r="Z126" s="7">
        <f>100-(Q$436-Tabell2[[#This Row],[Sysselsettingsvekst10-T]])*100/Q$439</f>
        <v>58.282962365731798</v>
      </c>
      <c r="AA126" s="7">
        <f>100-(R$436-Tabell2[[#This Row],[Yrkesaktivandel-T]])*100/R$439</f>
        <v>0</v>
      </c>
      <c r="AB126" s="7">
        <f>100-(S$436-Tabell2[[#This Row],[Inntekt-T]])*100/S$439</f>
        <v>70.884606454608772</v>
      </c>
      <c r="AC126" s="55">
        <f>Tabell2[[#This Row],[NIBR11-I]]*Vekter!$B$3</f>
        <v>16</v>
      </c>
      <c r="AD126" s="55">
        <f>Tabell2[[#This Row],[ReisetidOslo-I]]*Vekter!$C$3</f>
        <v>8.5085191956140473</v>
      </c>
      <c r="AE126" s="55">
        <f>Tabell2[[#This Row],[Beftettotal-I]]*Vekter!$D$3</f>
        <v>9.639412431410614</v>
      </c>
      <c r="AF126" s="55">
        <f>Tabell2[[#This Row],[Befvekst10-I]]*Vekter!$E$3</f>
        <v>12.814260510309243</v>
      </c>
      <c r="AG126" s="55">
        <f>Tabell2[[#This Row],[Kvinneandel-I]]*Vekter!$F$3</f>
        <v>1.6771833561098306</v>
      </c>
      <c r="AH126" s="55">
        <f>Tabell2[[#This Row],[Eldreandel-I]]*Vekter!$G$3</f>
        <v>2.2610429724417993</v>
      </c>
      <c r="AI126" s="55">
        <f>Tabell2[[#This Row],[Sysselsettingsvekst10-I]]*Vekter!$H$3</f>
        <v>5.8282962365731805</v>
      </c>
      <c r="AJ126" s="55">
        <f>Tabell2[[#This Row],[Yrkesaktivandel-I]]*Vekter!$J$3</f>
        <v>0</v>
      </c>
      <c r="AK126" s="55">
        <f>Tabell2[[#This Row],[Inntekt-I]]*Vekter!$L$3</f>
        <v>7.0884606454608772</v>
      </c>
      <c r="AL126" s="56">
        <f>SUM(Tabell2[[#This Row],[NIBR11-v]:[Inntekt-v]])</f>
        <v>63.817175347919587</v>
      </c>
    </row>
    <row r="127" spans="1:38" x14ac:dyDescent="0.25">
      <c r="A127" s="2" t="s">
        <v>124</v>
      </c>
      <c r="B127">
        <f>'Rådata-K'!M126</f>
        <v>4</v>
      </c>
      <c r="C127" s="7">
        <f>'Rådata-K'!L126</f>
        <v>66.566666666700002</v>
      </c>
      <c r="D127" s="34">
        <f>'Rådata-K'!N126</f>
        <v>8.8696027944830576</v>
      </c>
      <c r="E127" s="34">
        <f>'Rådata-K'!O126</f>
        <v>1.818933443571713E-2</v>
      </c>
      <c r="F127" s="34">
        <f>'Rådata-K'!P126</f>
        <v>0.10637434023548518</v>
      </c>
      <c r="G127" s="34">
        <f>'Rådata-K'!Q126</f>
        <v>0.15550142103126269</v>
      </c>
      <c r="H127" s="34">
        <f>'Rådata-K'!R126</f>
        <v>0.49088541666666674</v>
      </c>
      <c r="I127" s="34">
        <f>'Rådata-K'!S126</f>
        <v>0.87448275862068969</v>
      </c>
      <c r="J127" s="22">
        <f>'Rådata-K'!K126</f>
        <v>374100</v>
      </c>
      <c r="K127" s="22">
        <f>Tabell2[[#This Row],[NIBR11]]</f>
        <v>4</v>
      </c>
      <c r="L127" s="32">
        <f>IF(Tabell2[[#This Row],[ReisetidOslo]]&lt;=C$434,C$434,IF(Tabell2[[#This Row],[ReisetidOslo]]&gt;=C$435,C$435,Tabell2[[#This Row],[ReisetidOslo]]))</f>
        <v>66.566666666700002</v>
      </c>
      <c r="M127" s="32">
        <f>IF(Tabell2[[#This Row],[Beftettotal]]&lt;=D$434,D$434,IF(Tabell2[[#This Row],[Beftettotal]]&gt;=D$435,D$435,Tabell2[[#This Row],[Beftettotal]]))</f>
        <v>8.8696027944830576</v>
      </c>
      <c r="N127" s="34">
        <f>IF(Tabell2[[#This Row],[Befvekst10]]&lt;=E$434,E$434,IF(Tabell2[[#This Row],[Befvekst10]]&gt;=E$435,E$435,Tabell2[[#This Row],[Befvekst10]]))</f>
        <v>1.818933443571713E-2</v>
      </c>
      <c r="O127" s="34">
        <f>IF(Tabell2[[#This Row],[Kvinneandel]]&lt;=F$434,F$434,IF(Tabell2[[#This Row],[Kvinneandel]]&gt;=F$435,F$435,Tabell2[[#This Row],[Kvinneandel]]))</f>
        <v>0.10637434023548518</v>
      </c>
      <c r="P127" s="34">
        <f>IF(Tabell2[[#This Row],[Eldreandel]]&lt;=G$434,G$434,IF(Tabell2[[#This Row],[Eldreandel]]&gt;=G$435,G$435,Tabell2[[#This Row],[Eldreandel]]))</f>
        <v>0.15550142103126269</v>
      </c>
      <c r="Q127" s="34">
        <f>IF(Tabell2[[#This Row],[Sysselsettingsvekst10]]&lt;=H$434,H$434,IF(Tabell2[[#This Row],[Sysselsettingsvekst10]]&gt;=H$435,H$435,Tabell2[[#This Row],[Sysselsettingsvekst10]]))</f>
        <v>0.26635476409167841</v>
      </c>
      <c r="R127" s="34">
        <f>IF(Tabell2[[#This Row],[Yrkesaktivandel]]&lt;=I$434,I$434,IF(Tabell2[[#This Row],[Yrkesaktivandel]]&gt;=I$435,I$435,Tabell2[[#This Row],[Yrkesaktivandel]]))</f>
        <v>0.87448275862068969</v>
      </c>
      <c r="S127" s="22">
        <f>IF(Tabell2[[#This Row],[Inntekt]]&lt;=J$434,J$434,IF(Tabell2[[#This Row],[Inntekt]]&gt;=J$435,J$435,Tabell2[[#This Row],[Inntekt]]))</f>
        <v>374100</v>
      </c>
      <c r="T127" s="22">
        <f>IF(Tabell2[[#This Row],[NIBR11-T]]&lt;=K$437,100,IF(Tabell2[[#This Row],[NIBR11-T]]&gt;=K$436,0,100*(K$436-Tabell2[[#This Row],[NIBR11-T]])/K$439))</f>
        <v>70</v>
      </c>
      <c r="U127" s="7">
        <f>IF(Tabell2[[#This Row],[ReisetidOslo-T]]&lt;=L$437,100,IF(Tabell2[[#This Row],[ReisetidOslo-T]]&gt;=L$436,0,100*(L$436-Tabell2[[#This Row],[ReisetidOslo-T]])/L$439))</f>
        <v>93.845703839108481</v>
      </c>
      <c r="V127" s="7">
        <f>100-(M$436-Tabell2[[#This Row],[Beftettotal-T]])*100/M$439</f>
        <v>5.8325926901093794</v>
      </c>
      <c r="W127" s="7">
        <f>100-(N$436-Tabell2[[#This Row],[Befvekst10-T]])*100/N$439</f>
        <v>38.003048795506437</v>
      </c>
      <c r="X127" s="7">
        <f>100-(O$436-Tabell2[[#This Row],[Kvinneandel-T]])*100/O$439</f>
        <v>41.973553791967937</v>
      </c>
      <c r="Y127" s="7">
        <f>(P$436-Tabell2[[#This Row],[Eldreandel-T]])*100/P$439</f>
        <v>64.521716938237674</v>
      </c>
      <c r="Z127" s="7">
        <f>100-(Q$436-Tabell2[[#This Row],[Sysselsettingsvekst10-T]])*100/Q$439</f>
        <v>100</v>
      </c>
      <c r="AA127" s="7">
        <f>100-(R$436-Tabell2[[#This Row],[Yrkesaktivandel-T]])*100/R$439</f>
        <v>32.683458560282958</v>
      </c>
      <c r="AB127" s="7">
        <f>100-(S$436-Tabell2[[#This Row],[Inntekt-T]])*100/S$439</f>
        <v>49.291850475969355</v>
      </c>
      <c r="AC127" s="55">
        <f>Tabell2[[#This Row],[NIBR11-I]]*Vekter!$B$3</f>
        <v>14</v>
      </c>
      <c r="AD127" s="55">
        <f>Tabell2[[#This Row],[ReisetidOslo-I]]*Vekter!$C$3</f>
        <v>9.3845703839108481</v>
      </c>
      <c r="AE127" s="55">
        <f>Tabell2[[#This Row],[Beftettotal-I]]*Vekter!$D$3</f>
        <v>0.58325926901093794</v>
      </c>
      <c r="AF127" s="55">
        <f>Tabell2[[#This Row],[Befvekst10-I]]*Vekter!$E$3</f>
        <v>7.600609759101288</v>
      </c>
      <c r="AG127" s="55">
        <f>Tabell2[[#This Row],[Kvinneandel-I]]*Vekter!$F$3</f>
        <v>2.098677689598397</v>
      </c>
      <c r="AH127" s="55">
        <f>Tabell2[[#This Row],[Eldreandel-I]]*Vekter!$G$3</f>
        <v>3.226085846911884</v>
      </c>
      <c r="AI127" s="55">
        <f>Tabell2[[#This Row],[Sysselsettingsvekst10-I]]*Vekter!$H$3</f>
        <v>10</v>
      </c>
      <c r="AJ127" s="55">
        <f>Tabell2[[#This Row],[Yrkesaktivandel-I]]*Vekter!$J$3</f>
        <v>3.2683458560282959</v>
      </c>
      <c r="AK127" s="55">
        <f>Tabell2[[#This Row],[Inntekt-I]]*Vekter!$L$3</f>
        <v>4.9291850475969357</v>
      </c>
      <c r="AL127" s="56">
        <f>SUM(Tabell2[[#This Row],[NIBR11-v]:[Inntekt-v]])</f>
        <v>55.090733852158593</v>
      </c>
    </row>
    <row r="128" spans="1:38" x14ac:dyDescent="0.25">
      <c r="A128" s="2" t="s">
        <v>125</v>
      </c>
      <c r="B128">
        <f>'Rådata-K'!M127</f>
        <v>4</v>
      </c>
      <c r="C128" s="7">
        <f>'Rådata-K'!L127</f>
        <v>111.43333333299999</v>
      </c>
      <c r="D128" s="34">
        <f>'Rådata-K'!N127</f>
        <v>218.21788220933783</v>
      </c>
      <c r="E128" s="34">
        <f>'Rådata-K'!O127</f>
        <v>7.0284670877361011E-2</v>
      </c>
      <c r="F128" s="34">
        <f>'Rådata-K'!P127</f>
        <v>0.11808138721857082</v>
      </c>
      <c r="G128" s="34">
        <f>'Rådata-K'!Q127</f>
        <v>0.15706894140679625</v>
      </c>
      <c r="H128" s="34">
        <f>'Rådata-K'!R127</f>
        <v>4.6286456488369376E-2</v>
      </c>
      <c r="I128" s="34">
        <f>'Rådata-K'!S127</f>
        <v>0.8152938938558113</v>
      </c>
      <c r="J128" s="22">
        <f>'Rådata-K'!K127</f>
        <v>383900</v>
      </c>
      <c r="K128" s="22">
        <f>Tabell2[[#This Row],[NIBR11]]</f>
        <v>4</v>
      </c>
      <c r="L128" s="32">
        <f>IF(Tabell2[[#This Row],[ReisetidOslo]]&lt;=C$434,C$434,IF(Tabell2[[#This Row],[ReisetidOslo]]&gt;=C$435,C$435,Tabell2[[#This Row],[ReisetidOslo]]))</f>
        <v>111.43333333299999</v>
      </c>
      <c r="M128" s="32">
        <f>IF(Tabell2[[#This Row],[Beftettotal]]&lt;=D$434,D$434,IF(Tabell2[[#This Row],[Beftettotal]]&gt;=D$435,D$435,Tabell2[[#This Row],[Beftettotal]]))</f>
        <v>130.60042534801397</v>
      </c>
      <c r="N128" s="34">
        <f>IF(Tabell2[[#This Row],[Befvekst10]]&lt;=E$434,E$434,IF(Tabell2[[#This Row],[Befvekst10]]&gt;=E$435,E$435,Tabell2[[#This Row],[Befvekst10]]))</f>
        <v>7.0284670877361011E-2</v>
      </c>
      <c r="O128" s="34">
        <f>IF(Tabell2[[#This Row],[Kvinneandel]]&lt;=F$434,F$434,IF(Tabell2[[#This Row],[Kvinneandel]]&gt;=F$435,F$435,Tabell2[[#This Row],[Kvinneandel]]))</f>
        <v>0.11808138721857082</v>
      </c>
      <c r="P128" s="34">
        <f>IF(Tabell2[[#This Row],[Eldreandel]]&lt;=G$434,G$434,IF(Tabell2[[#This Row],[Eldreandel]]&gt;=G$435,G$435,Tabell2[[#This Row],[Eldreandel]]))</f>
        <v>0.15706894140679625</v>
      </c>
      <c r="Q128" s="34">
        <f>IF(Tabell2[[#This Row],[Sysselsettingsvekst10]]&lt;=H$434,H$434,IF(Tabell2[[#This Row],[Sysselsettingsvekst10]]&gt;=H$435,H$435,Tabell2[[#This Row],[Sysselsettingsvekst10]]))</f>
        <v>4.6286456488369376E-2</v>
      </c>
      <c r="R128" s="34">
        <f>IF(Tabell2[[#This Row],[Yrkesaktivandel]]&lt;=I$434,I$434,IF(Tabell2[[#This Row],[Yrkesaktivandel]]&gt;=I$435,I$435,Tabell2[[#This Row],[Yrkesaktivandel]]))</f>
        <v>0.83197552842263423</v>
      </c>
      <c r="S128" s="22">
        <f>IF(Tabell2[[#This Row],[Inntekt]]&lt;=J$434,J$434,IF(Tabell2[[#This Row],[Inntekt]]&gt;=J$435,J$435,Tabell2[[#This Row],[Inntekt]]))</f>
        <v>383900</v>
      </c>
      <c r="T128" s="22">
        <f>IF(Tabell2[[#This Row],[NIBR11-T]]&lt;=K$437,100,IF(Tabell2[[#This Row],[NIBR11-T]]&gt;=K$436,0,100*(K$436-Tabell2[[#This Row],[NIBR11-T]])/K$439))</f>
        <v>70</v>
      </c>
      <c r="U128" s="7">
        <f>IF(Tabell2[[#This Row],[ReisetidOslo-T]]&lt;=L$437,100,IF(Tabell2[[#This Row],[ReisetidOslo-T]]&gt;=L$436,0,100*(L$436-Tabell2[[#This Row],[ReisetidOslo-T]])/L$439))</f>
        <v>74.160146252434075</v>
      </c>
      <c r="V128" s="7">
        <f>100-(M$436-Tabell2[[#This Row],[Beftettotal-T]])*100/M$439</f>
        <v>100</v>
      </c>
      <c r="W128" s="7">
        <f>100-(N$436-Tabell2[[#This Row],[Befvekst10-T]])*100/N$439</f>
        <v>58.978535550792508</v>
      </c>
      <c r="X128" s="7">
        <f>100-(O$436-Tabell2[[#This Row],[Kvinneandel-T]])*100/O$439</f>
        <v>72.909208505054735</v>
      </c>
      <c r="Y128" s="7">
        <f>(P$436-Tabell2[[#This Row],[Eldreandel-T]])*100/P$439</f>
        <v>62.804103448303053</v>
      </c>
      <c r="Z128" s="7">
        <f>100-(Q$436-Tabell2[[#This Row],[Sysselsettingsvekst10-T]])*100/Q$439</f>
        <v>34.52067666572998</v>
      </c>
      <c r="AA128" s="7">
        <f>100-(R$436-Tabell2[[#This Row],[Yrkesaktivandel-T]])*100/R$439</f>
        <v>0</v>
      </c>
      <c r="AB128" s="7">
        <f>100-(S$436-Tabell2[[#This Row],[Inntekt-T]])*100/S$439</f>
        <v>60.668678894822385</v>
      </c>
      <c r="AC128" s="55">
        <f>Tabell2[[#This Row],[NIBR11-I]]*Vekter!$B$3</f>
        <v>14</v>
      </c>
      <c r="AD128" s="55">
        <f>Tabell2[[#This Row],[ReisetidOslo-I]]*Vekter!$C$3</f>
        <v>7.4160146252434078</v>
      </c>
      <c r="AE128" s="55">
        <f>Tabell2[[#This Row],[Beftettotal-I]]*Vekter!$D$3</f>
        <v>10</v>
      </c>
      <c r="AF128" s="55">
        <f>Tabell2[[#This Row],[Befvekst10-I]]*Vekter!$E$3</f>
        <v>11.795707110158503</v>
      </c>
      <c r="AG128" s="55">
        <f>Tabell2[[#This Row],[Kvinneandel-I]]*Vekter!$F$3</f>
        <v>3.6454604252527369</v>
      </c>
      <c r="AH128" s="55">
        <f>Tabell2[[#This Row],[Eldreandel-I]]*Vekter!$G$3</f>
        <v>3.1402051724151527</v>
      </c>
      <c r="AI128" s="55">
        <f>Tabell2[[#This Row],[Sysselsettingsvekst10-I]]*Vekter!$H$3</f>
        <v>3.4520676665729981</v>
      </c>
      <c r="AJ128" s="55">
        <f>Tabell2[[#This Row],[Yrkesaktivandel-I]]*Vekter!$J$3</f>
        <v>0</v>
      </c>
      <c r="AK128" s="55">
        <f>Tabell2[[#This Row],[Inntekt-I]]*Vekter!$L$3</f>
        <v>6.0668678894822392</v>
      </c>
      <c r="AL128" s="56">
        <f>SUM(Tabell2[[#This Row],[NIBR11-v]:[Inntekt-v]])</f>
        <v>59.516322889125036</v>
      </c>
    </row>
    <row r="129" spans="1:38" x14ac:dyDescent="0.25">
      <c r="A129" s="2" t="s">
        <v>126</v>
      </c>
      <c r="B129">
        <f>'Rådata-K'!M128</f>
        <v>4</v>
      </c>
      <c r="C129" s="7">
        <f>'Rådata-K'!L128</f>
        <v>98.966666666699993</v>
      </c>
      <c r="D129" s="34">
        <f>'Rådata-K'!N128</f>
        <v>69.076537497590124</v>
      </c>
      <c r="E129" s="34">
        <f>'Rådata-K'!O128</f>
        <v>6.0561212408240639E-2</v>
      </c>
      <c r="F129" s="34">
        <f>'Rådata-K'!P128</f>
        <v>0.11995534468322634</v>
      </c>
      <c r="G129" s="34">
        <f>'Rådata-K'!Q128</f>
        <v>0.15495394920457717</v>
      </c>
      <c r="H129" s="34">
        <f>'Rådata-K'!R128</f>
        <v>9.5740523642047659E-2</v>
      </c>
      <c r="I129" s="34">
        <f>'Rådata-K'!S128</f>
        <v>0.81838130068373349</v>
      </c>
      <c r="J129" s="22">
        <f>'Rådata-K'!K128</f>
        <v>370200</v>
      </c>
      <c r="K129" s="22">
        <f>Tabell2[[#This Row],[NIBR11]]</f>
        <v>4</v>
      </c>
      <c r="L129" s="32">
        <f>IF(Tabell2[[#This Row],[ReisetidOslo]]&lt;=C$434,C$434,IF(Tabell2[[#This Row],[ReisetidOslo]]&gt;=C$435,C$435,Tabell2[[#This Row],[ReisetidOslo]]))</f>
        <v>98.966666666699993</v>
      </c>
      <c r="M129" s="32">
        <f>IF(Tabell2[[#This Row],[Beftettotal]]&lt;=D$434,D$434,IF(Tabell2[[#This Row],[Beftettotal]]&gt;=D$435,D$435,Tabell2[[#This Row],[Beftettotal]]))</f>
        <v>69.076537497590124</v>
      </c>
      <c r="N129" s="34">
        <f>IF(Tabell2[[#This Row],[Befvekst10]]&lt;=E$434,E$434,IF(Tabell2[[#This Row],[Befvekst10]]&gt;=E$435,E$435,Tabell2[[#This Row],[Befvekst10]]))</f>
        <v>6.0561212408240639E-2</v>
      </c>
      <c r="O129" s="34">
        <f>IF(Tabell2[[#This Row],[Kvinneandel]]&lt;=F$434,F$434,IF(Tabell2[[#This Row],[Kvinneandel]]&gt;=F$435,F$435,Tabell2[[#This Row],[Kvinneandel]]))</f>
        <v>0.11995534468322634</v>
      </c>
      <c r="P129" s="34">
        <f>IF(Tabell2[[#This Row],[Eldreandel]]&lt;=G$434,G$434,IF(Tabell2[[#This Row],[Eldreandel]]&gt;=G$435,G$435,Tabell2[[#This Row],[Eldreandel]]))</f>
        <v>0.15495394920457717</v>
      </c>
      <c r="Q129" s="34">
        <f>IF(Tabell2[[#This Row],[Sysselsettingsvekst10]]&lt;=H$434,H$434,IF(Tabell2[[#This Row],[Sysselsettingsvekst10]]&gt;=H$435,H$435,Tabell2[[#This Row],[Sysselsettingsvekst10]]))</f>
        <v>9.5740523642047659E-2</v>
      </c>
      <c r="R129" s="34">
        <f>IF(Tabell2[[#This Row],[Yrkesaktivandel]]&lt;=I$434,I$434,IF(Tabell2[[#This Row],[Yrkesaktivandel]]&gt;=I$435,I$435,Tabell2[[#This Row],[Yrkesaktivandel]]))</f>
        <v>0.83197552842263423</v>
      </c>
      <c r="S129" s="22">
        <f>IF(Tabell2[[#This Row],[Inntekt]]&lt;=J$434,J$434,IF(Tabell2[[#This Row],[Inntekt]]&gt;=J$435,J$435,Tabell2[[#This Row],[Inntekt]]))</f>
        <v>370200</v>
      </c>
      <c r="T129" s="22">
        <f>IF(Tabell2[[#This Row],[NIBR11-T]]&lt;=K$437,100,IF(Tabell2[[#This Row],[NIBR11-T]]&gt;=K$436,0,100*(K$436-Tabell2[[#This Row],[NIBR11-T]])/K$439))</f>
        <v>70</v>
      </c>
      <c r="U129" s="7">
        <f>IF(Tabell2[[#This Row],[ReisetidOslo-T]]&lt;=L$437,100,IF(Tabell2[[#This Row],[ReisetidOslo-T]]&gt;=L$436,0,100*(L$436-Tabell2[[#This Row],[ReisetidOslo-T]])/L$439))</f>
        <v>79.629981718451802</v>
      </c>
      <c r="V129" s="7">
        <f>100-(M$436-Tabell2[[#This Row],[Beftettotal-T]])*100/M$439</f>
        <v>52.40691810859002</v>
      </c>
      <c r="W129" s="7">
        <f>100-(N$436-Tabell2[[#This Row],[Befvekst10-T]])*100/N$439</f>
        <v>55.063515737779611</v>
      </c>
      <c r="X129" s="7">
        <f>100-(O$436-Tabell2[[#This Row],[Kvinneandel-T]])*100/O$439</f>
        <v>77.861106379672719</v>
      </c>
      <c r="Y129" s="7">
        <f>(P$436-Tabell2[[#This Row],[Eldreandel-T]])*100/P$439</f>
        <v>65.121610253534541</v>
      </c>
      <c r="Z129" s="7">
        <f>100-(Q$436-Tabell2[[#This Row],[Sysselsettingsvekst10-T]])*100/Q$439</f>
        <v>49.235284546422896</v>
      </c>
      <c r="AA129" s="7">
        <f>100-(R$436-Tabell2[[#This Row],[Yrkesaktivandel-T]])*100/R$439</f>
        <v>0</v>
      </c>
      <c r="AB129" s="7">
        <f>100-(S$436-Tabell2[[#This Row],[Inntekt-T]])*100/S$439</f>
        <v>44.764337125609472</v>
      </c>
      <c r="AC129" s="55">
        <f>Tabell2[[#This Row],[NIBR11-I]]*Vekter!$B$3</f>
        <v>14</v>
      </c>
      <c r="AD129" s="55">
        <f>Tabell2[[#This Row],[ReisetidOslo-I]]*Vekter!$C$3</f>
        <v>7.9629981718451806</v>
      </c>
      <c r="AE129" s="55">
        <f>Tabell2[[#This Row],[Beftettotal-I]]*Vekter!$D$3</f>
        <v>5.2406918108590022</v>
      </c>
      <c r="AF129" s="55">
        <f>Tabell2[[#This Row],[Befvekst10-I]]*Vekter!$E$3</f>
        <v>11.012703147555923</v>
      </c>
      <c r="AG129" s="55">
        <f>Tabell2[[#This Row],[Kvinneandel-I]]*Vekter!$F$3</f>
        <v>3.8930553189836363</v>
      </c>
      <c r="AH129" s="55">
        <f>Tabell2[[#This Row],[Eldreandel-I]]*Vekter!$G$3</f>
        <v>3.2560805126767272</v>
      </c>
      <c r="AI129" s="55">
        <f>Tabell2[[#This Row],[Sysselsettingsvekst10-I]]*Vekter!$H$3</f>
        <v>4.9235284546422902</v>
      </c>
      <c r="AJ129" s="55">
        <f>Tabell2[[#This Row],[Yrkesaktivandel-I]]*Vekter!$J$3</f>
        <v>0</v>
      </c>
      <c r="AK129" s="55">
        <f>Tabell2[[#This Row],[Inntekt-I]]*Vekter!$L$3</f>
        <v>4.4764337125609472</v>
      </c>
      <c r="AL129" s="56">
        <f>SUM(Tabell2[[#This Row],[NIBR11-v]:[Inntekt-v]])</f>
        <v>54.765491129123696</v>
      </c>
    </row>
    <row r="130" spans="1:38" x14ac:dyDescent="0.25">
      <c r="A130" s="2" t="s">
        <v>127</v>
      </c>
      <c r="B130">
        <f>'Rådata-K'!M129</f>
        <v>5</v>
      </c>
      <c r="C130" s="7">
        <f>'Rådata-K'!L129</f>
        <v>89.316666666700002</v>
      </c>
      <c r="D130" s="34">
        <f>'Rådata-K'!N129</f>
        <v>13.706036574089183</v>
      </c>
      <c r="E130" s="34">
        <f>'Rådata-K'!O129</f>
        <v>1.9419046848450527E-2</v>
      </c>
      <c r="F130" s="34">
        <f>'Rådata-K'!P129</f>
        <v>0.11326295737756965</v>
      </c>
      <c r="G130" s="34">
        <f>'Rådata-K'!Q129</f>
        <v>0.17699817445829033</v>
      </c>
      <c r="H130" s="34">
        <f>'Rådata-K'!R129</f>
        <v>-1.9059720457433316E-2</v>
      </c>
      <c r="I130" s="34">
        <f>'Rådata-K'!S129</f>
        <v>0.81907803387947797</v>
      </c>
      <c r="J130" s="22">
        <f>'Rådata-K'!K129</f>
        <v>362100</v>
      </c>
      <c r="K130" s="22">
        <f>Tabell2[[#This Row],[NIBR11]]</f>
        <v>5</v>
      </c>
      <c r="L130" s="32">
        <f>IF(Tabell2[[#This Row],[ReisetidOslo]]&lt;=C$434,C$434,IF(Tabell2[[#This Row],[ReisetidOslo]]&gt;=C$435,C$435,Tabell2[[#This Row],[ReisetidOslo]]))</f>
        <v>89.316666666700002</v>
      </c>
      <c r="M130" s="32">
        <f>IF(Tabell2[[#This Row],[Beftettotal]]&lt;=D$434,D$434,IF(Tabell2[[#This Row],[Beftettotal]]&gt;=D$435,D$435,Tabell2[[#This Row],[Beftettotal]]))</f>
        <v>13.706036574089183</v>
      </c>
      <c r="N130" s="34">
        <f>IF(Tabell2[[#This Row],[Befvekst10]]&lt;=E$434,E$434,IF(Tabell2[[#This Row],[Befvekst10]]&gt;=E$435,E$435,Tabell2[[#This Row],[Befvekst10]]))</f>
        <v>1.9419046848450527E-2</v>
      </c>
      <c r="O130" s="34">
        <f>IF(Tabell2[[#This Row],[Kvinneandel]]&lt;=F$434,F$434,IF(Tabell2[[#This Row],[Kvinneandel]]&gt;=F$435,F$435,Tabell2[[#This Row],[Kvinneandel]]))</f>
        <v>0.11326295737756965</v>
      </c>
      <c r="P130" s="34">
        <f>IF(Tabell2[[#This Row],[Eldreandel]]&lt;=G$434,G$434,IF(Tabell2[[#This Row],[Eldreandel]]&gt;=G$435,G$435,Tabell2[[#This Row],[Eldreandel]]))</f>
        <v>0.17699817445829033</v>
      </c>
      <c r="Q130" s="34">
        <f>IF(Tabell2[[#This Row],[Sysselsettingsvekst10]]&lt;=H$434,H$434,IF(Tabell2[[#This Row],[Sysselsettingsvekst10]]&gt;=H$435,H$435,Tabell2[[#This Row],[Sysselsettingsvekst10]]))</f>
        <v>-1.9059720457433316E-2</v>
      </c>
      <c r="R130" s="34">
        <f>IF(Tabell2[[#This Row],[Yrkesaktivandel]]&lt;=I$434,I$434,IF(Tabell2[[#This Row],[Yrkesaktivandel]]&gt;=I$435,I$435,Tabell2[[#This Row],[Yrkesaktivandel]]))</f>
        <v>0.83197552842263423</v>
      </c>
      <c r="S130" s="22">
        <f>IF(Tabell2[[#This Row],[Inntekt]]&lt;=J$434,J$434,IF(Tabell2[[#This Row],[Inntekt]]&gt;=J$435,J$435,Tabell2[[#This Row],[Inntekt]]))</f>
        <v>362100</v>
      </c>
      <c r="T130" s="22">
        <f>IF(Tabell2[[#This Row],[NIBR11-T]]&lt;=K$437,100,IF(Tabell2[[#This Row],[NIBR11-T]]&gt;=K$436,0,100*(K$436-Tabell2[[#This Row],[NIBR11-T]])/K$439))</f>
        <v>60</v>
      </c>
      <c r="U130" s="7">
        <f>IF(Tabell2[[#This Row],[ReisetidOslo-T]]&lt;=L$437,100,IF(Tabell2[[#This Row],[ReisetidOslo-T]]&gt;=L$436,0,100*(L$436-Tabell2[[#This Row],[ReisetidOslo-T]])/L$439))</f>
        <v>83.863985374758499</v>
      </c>
      <c r="V130" s="7">
        <f>100-(M$436-Tabell2[[#This Row],[Beftettotal-T]])*100/M$439</f>
        <v>9.5739165397137498</v>
      </c>
      <c r="W130" s="7">
        <f>100-(N$436-Tabell2[[#This Row],[Befvekst10-T]])*100/N$439</f>
        <v>38.498175964038957</v>
      </c>
      <c r="X130" s="7">
        <f>100-(O$436-Tabell2[[#This Row],[Kvinneandel-T]])*100/O$439</f>
        <v>60.176596939062911</v>
      </c>
      <c r="Y130" s="7">
        <f>(P$436-Tabell2[[#This Row],[Eldreandel-T]])*100/P$439</f>
        <v>40.966607701783332</v>
      </c>
      <c r="Z130" s="7">
        <f>100-(Q$436-Tabell2[[#This Row],[Sysselsettingsvekst10-T]])*100/Q$439</f>
        <v>15.077516060316682</v>
      </c>
      <c r="AA130" s="7">
        <f>100-(R$436-Tabell2[[#This Row],[Yrkesaktivandel-T]])*100/R$439</f>
        <v>0</v>
      </c>
      <c r="AB130" s="7">
        <f>100-(S$436-Tabell2[[#This Row],[Inntekt-T]])*100/S$439</f>
        <v>35.361040167169719</v>
      </c>
      <c r="AC130" s="55">
        <f>Tabell2[[#This Row],[NIBR11-I]]*Vekter!$B$3</f>
        <v>12</v>
      </c>
      <c r="AD130" s="55">
        <f>Tabell2[[#This Row],[ReisetidOslo-I]]*Vekter!$C$3</f>
        <v>8.3863985374758503</v>
      </c>
      <c r="AE130" s="55">
        <f>Tabell2[[#This Row],[Beftettotal-I]]*Vekter!$D$3</f>
        <v>0.95739165397137505</v>
      </c>
      <c r="AF130" s="55">
        <f>Tabell2[[#This Row],[Befvekst10-I]]*Vekter!$E$3</f>
        <v>7.6996351928077917</v>
      </c>
      <c r="AG130" s="55">
        <f>Tabell2[[#This Row],[Kvinneandel-I]]*Vekter!$F$3</f>
        <v>3.0088298469531458</v>
      </c>
      <c r="AH130" s="55">
        <f>Tabell2[[#This Row],[Eldreandel-I]]*Vekter!$G$3</f>
        <v>2.0483303850891668</v>
      </c>
      <c r="AI130" s="55">
        <f>Tabell2[[#This Row],[Sysselsettingsvekst10-I]]*Vekter!$H$3</f>
        <v>1.5077516060316682</v>
      </c>
      <c r="AJ130" s="55">
        <f>Tabell2[[#This Row],[Yrkesaktivandel-I]]*Vekter!$J$3</f>
        <v>0</v>
      </c>
      <c r="AK130" s="55">
        <f>Tabell2[[#This Row],[Inntekt-I]]*Vekter!$L$3</f>
        <v>3.5361040167169722</v>
      </c>
      <c r="AL130" s="56">
        <f>SUM(Tabell2[[#This Row],[NIBR11-v]:[Inntekt-v]])</f>
        <v>39.144441239045968</v>
      </c>
    </row>
    <row r="131" spans="1:38" x14ac:dyDescent="0.25">
      <c r="A131" s="2" t="s">
        <v>128</v>
      </c>
      <c r="B131">
        <f>'Rådata-K'!M130</f>
        <v>4</v>
      </c>
      <c r="C131" s="7">
        <f>'Rådata-K'!L130</f>
        <v>86.066666666700002</v>
      </c>
      <c r="D131" s="34">
        <f>'Rådata-K'!N130</f>
        <v>11.034772854739204</v>
      </c>
      <c r="E131" s="34">
        <f>'Rådata-K'!O130</f>
        <v>-4.6374367622259438E-3</v>
      </c>
      <c r="F131" s="34">
        <f>'Rådata-K'!P130</f>
        <v>0.12198221092757307</v>
      </c>
      <c r="G131" s="34">
        <f>'Rådata-K'!Q130</f>
        <v>0.15883100381194409</v>
      </c>
      <c r="H131" s="34">
        <f>'Rådata-K'!R130</f>
        <v>6.3180827886710311E-2</v>
      </c>
      <c r="I131" s="34">
        <f>'Rådata-K'!S130</f>
        <v>0.90820165537998498</v>
      </c>
      <c r="J131" s="22">
        <f>'Rådata-K'!K130</f>
        <v>364700</v>
      </c>
      <c r="K131" s="22">
        <f>Tabell2[[#This Row],[NIBR11]]</f>
        <v>4</v>
      </c>
      <c r="L131" s="32">
        <f>IF(Tabell2[[#This Row],[ReisetidOslo]]&lt;=C$434,C$434,IF(Tabell2[[#This Row],[ReisetidOslo]]&gt;=C$435,C$435,Tabell2[[#This Row],[ReisetidOslo]]))</f>
        <v>86.066666666700002</v>
      </c>
      <c r="M131" s="32">
        <f>IF(Tabell2[[#This Row],[Beftettotal]]&lt;=D$434,D$434,IF(Tabell2[[#This Row],[Beftettotal]]&gt;=D$435,D$435,Tabell2[[#This Row],[Beftettotal]]))</f>
        <v>11.034772854739204</v>
      </c>
      <c r="N131" s="34">
        <f>IF(Tabell2[[#This Row],[Befvekst10]]&lt;=E$434,E$434,IF(Tabell2[[#This Row],[Befvekst10]]&gt;=E$435,E$435,Tabell2[[#This Row],[Befvekst10]]))</f>
        <v>-4.6374367622259438E-3</v>
      </c>
      <c r="O131" s="34">
        <f>IF(Tabell2[[#This Row],[Kvinneandel]]&lt;=F$434,F$434,IF(Tabell2[[#This Row],[Kvinneandel]]&gt;=F$435,F$435,Tabell2[[#This Row],[Kvinneandel]]))</f>
        <v>0.12198221092757307</v>
      </c>
      <c r="P131" s="34">
        <f>IF(Tabell2[[#This Row],[Eldreandel]]&lt;=G$434,G$434,IF(Tabell2[[#This Row],[Eldreandel]]&gt;=G$435,G$435,Tabell2[[#This Row],[Eldreandel]]))</f>
        <v>0.15883100381194409</v>
      </c>
      <c r="Q131" s="34">
        <f>IF(Tabell2[[#This Row],[Sysselsettingsvekst10]]&lt;=H$434,H$434,IF(Tabell2[[#This Row],[Sysselsettingsvekst10]]&gt;=H$435,H$435,Tabell2[[#This Row],[Sysselsettingsvekst10]]))</f>
        <v>6.3180827886710311E-2</v>
      </c>
      <c r="R131" s="34">
        <f>IF(Tabell2[[#This Row],[Yrkesaktivandel]]&lt;=I$434,I$434,IF(Tabell2[[#This Row],[Yrkesaktivandel]]&gt;=I$435,I$435,Tabell2[[#This Row],[Yrkesaktivandel]]))</f>
        <v>0.90820165537998498</v>
      </c>
      <c r="S131" s="22">
        <f>IF(Tabell2[[#This Row],[Inntekt]]&lt;=J$434,J$434,IF(Tabell2[[#This Row],[Inntekt]]&gt;=J$435,J$435,Tabell2[[#This Row],[Inntekt]]))</f>
        <v>364700</v>
      </c>
      <c r="T131" s="22">
        <f>IF(Tabell2[[#This Row],[NIBR11-T]]&lt;=K$437,100,IF(Tabell2[[#This Row],[NIBR11-T]]&gt;=K$436,0,100*(K$436-Tabell2[[#This Row],[NIBR11-T]])/K$439))</f>
        <v>70</v>
      </c>
      <c r="U131" s="7">
        <f>IF(Tabell2[[#This Row],[ReisetidOslo-T]]&lt;=L$437,100,IF(Tabell2[[#This Row],[ReisetidOslo-T]]&gt;=L$436,0,100*(L$436-Tabell2[[#This Row],[ReisetidOslo-T]])/L$439))</f>
        <v>85.289945155379925</v>
      </c>
      <c r="V131" s="7">
        <f>100-(M$436-Tabell2[[#This Row],[Beftettotal-T]])*100/M$439</f>
        <v>7.507504981691568</v>
      </c>
      <c r="W131" s="7">
        <f>100-(N$436-Tabell2[[#This Row],[Befvekst10-T]])*100/N$439</f>
        <v>28.812156296621325</v>
      </c>
      <c r="X131" s="7">
        <f>100-(O$436-Tabell2[[#This Row],[Kvinneandel-T]])*100/O$439</f>
        <v>83.217062871118756</v>
      </c>
      <c r="Y131" s="7">
        <f>(P$436-Tabell2[[#This Row],[Eldreandel-T]])*100/P$439</f>
        <v>60.873320152323004</v>
      </c>
      <c r="Z131" s="7">
        <f>100-(Q$436-Tabell2[[#This Row],[Sysselsettingsvekst10-T]])*100/Q$439</f>
        <v>39.547443215483632</v>
      </c>
      <c r="AA131" s="7">
        <f>100-(R$436-Tabell2[[#This Row],[Yrkesaktivandel-T]])*100/R$439</f>
        <v>58.609640054491493</v>
      </c>
      <c r="AB131" s="7">
        <f>100-(S$436-Tabell2[[#This Row],[Inntekt-T]])*100/S$439</f>
        <v>38.379382400742976</v>
      </c>
      <c r="AC131" s="55">
        <f>Tabell2[[#This Row],[NIBR11-I]]*Vekter!$B$3</f>
        <v>14</v>
      </c>
      <c r="AD131" s="55">
        <f>Tabell2[[#This Row],[ReisetidOslo-I]]*Vekter!$C$3</f>
        <v>8.5289945155379936</v>
      </c>
      <c r="AE131" s="55">
        <f>Tabell2[[#This Row],[Beftettotal-I]]*Vekter!$D$3</f>
        <v>0.75075049816915684</v>
      </c>
      <c r="AF131" s="55">
        <f>Tabell2[[#This Row],[Befvekst10-I]]*Vekter!$E$3</f>
        <v>5.7624312593242655</v>
      </c>
      <c r="AG131" s="55">
        <f>Tabell2[[#This Row],[Kvinneandel-I]]*Vekter!$F$3</f>
        <v>4.1608531435559382</v>
      </c>
      <c r="AH131" s="55">
        <f>Tabell2[[#This Row],[Eldreandel-I]]*Vekter!$G$3</f>
        <v>3.0436660076161504</v>
      </c>
      <c r="AI131" s="55">
        <f>Tabell2[[#This Row],[Sysselsettingsvekst10-I]]*Vekter!$H$3</f>
        <v>3.9547443215483633</v>
      </c>
      <c r="AJ131" s="55">
        <f>Tabell2[[#This Row],[Yrkesaktivandel-I]]*Vekter!$J$3</f>
        <v>5.8609640054491496</v>
      </c>
      <c r="AK131" s="55">
        <f>Tabell2[[#This Row],[Inntekt-I]]*Vekter!$L$3</f>
        <v>3.8379382400742976</v>
      </c>
      <c r="AL131" s="56">
        <f>SUM(Tabell2[[#This Row],[NIBR11-v]:[Inntekt-v]])</f>
        <v>49.900341991275312</v>
      </c>
    </row>
    <row r="132" spans="1:38" x14ac:dyDescent="0.25">
      <c r="A132" s="2" t="s">
        <v>129</v>
      </c>
      <c r="B132">
        <f>'Rådata-K'!M131</f>
        <v>4</v>
      </c>
      <c r="C132" s="7">
        <f>'Rådata-K'!L131</f>
        <v>109.616666667</v>
      </c>
      <c r="D132" s="34">
        <f>'Rådata-K'!N131</f>
        <v>46.459668145227532</v>
      </c>
      <c r="E132" s="34">
        <f>'Rådata-K'!O131</f>
        <v>-9.8911968348169843E-4</v>
      </c>
      <c r="F132" s="34">
        <f>'Rådata-K'!P131</f>
        <v>0.10770862800565771</v>
      </c>
      <c r="G132" s="34">
        <f>'Rådata-K'!Q131</f>
        <v>0.15855728429985855</v>
      </c>
      <c r="H132" s="34">
        <f>'Rådata-K'!R131</f>
        <v>-5.0122943067902437E-2</v>
      </c>
      <c r="I132" s="34">
        <f>'Rådata-K'!S131</f>
        <v>0.83520919990212872</v>
      </c>
      <c r="J132" s="22">
        <f>'Rådata-K'!K131</f>
        <v>388900</v>
      </c>
      <c r="K132" s="22">
        <f>Tabell2[[#This Row],[NIBR11]]</f>
        <v>4</v>
      </c>
      <c r="L132" s="32">
        <f>IF(Tabell2[[#This Row],[ReisetidOslo]]&lt;=C$434,C$434,IF(Tabell2[[#This Row],[ReisetidOslo]]&gt;=C$435,C$435,Tabell2[[#This Row],[ReisetidOslo]]))</f>
        <v>109.616666667</v>
      </c>
      <c r="M132" s="32">
        <f>IF(Tabell2[[#This Row],[Beftettotal]]&lt;=D$434,D$434,IF(Tabell2[[#This Row],[Beftettotal]]&gt;=D$435,D$435,Tabell2[[#This Row],[Beftettotal]]))</f>
        <v>46.459668145227532</v>
      </c>
      <c r="N132" s="34">
        <f>IF(Tabell2[[#This Row],[Befvekst10]]&lt;=E$434,E$434,IF(Tabell2[[#This Row],[Befvekst10]]&gt;=E$435,E$435,Tabell2[[#This Row],[Befvekst10]]))</f>
        <v>-9.8911968348169843E-4</v>
      </c>
      <c r="O132" s="34">
        <f>IF(Tabell2[[#This Row],[Kvinneandel]]&lt;=F$434,F$434,IF(Tabell2[[#This Row],[Kvinneandel]]&gt;=F$435,F$435,Tabell2[[#This Row],[Kvinneandel]]))</f>
        <v>0.10770862800565771</v>
      </c>
      <c r="P132" s="34">
        <f>IF(Tabell2[[#This Row],[Eldreandel]]&lt;=G$434,G$434,IF(Tabell2[[#This Row],[Eldreandel]]&gt;=G$435,G$435,Tabell2[[#This Row],[Eldreandel]]))</f>
        <v>0.15855728429985855</v>
      </c>
      <c r="Q132" s="34">
        <f>IF(Tabell2[[#This Row],[Sysselsettingsvekst10]]&lt;=H$434,H$434,IF(Tabell2[[#This Row],[Sysselsettingsvekst10]]&gt;=H$435,H$435,Tabell2[[#This Row],[Sysselsettingsvekst10]]))</f>
        <v>-5.0122943067902437E-2</v>
      </c>
      <c r="R132" s="34">
        <f>IF(Tabell2[[#This Row],[Yrkesaktivandel]]&lt;=I$434,I$434,IF(Tabell2[[#This Row],[Yrkesaktivandel]]&gt;=I$435,I$435,Tabell2[[#This Row],[Yrkesaktivandel]]))</f>
        <v>0.83520919990212872</v>
      </c>
      <c r="S132" s="22">
        <f>IF(Tabell2[[#This Row],[Inntekt]]&lt;=J$434,J$434,IF(Tabell2[[#This Row],[Inntekt]]&gt;=J$435,J$435,Tabell2[[#This Row],[Inntekt]]))</f>
        <v>388900</v>
      </c>
      <c r="T132" s="22">
        <f>IF(Tabell2[[#This Row],[NIBR11-T]]&lt;=K$437,100,IF(Tabell2[[#This Row],[NIBR11-T]]&gt;=K$436,0,100*(K$436-Tabell2[[#This Row],[NIBR11-T]])/K$439))</f>
        <v>70</v>
      </c>
      <c r="U132" s="7">
        <f>IF(Tabell2[[#This Row],[ReisetidOslo-T]]&lt;=L$437,100,IF(Tabell2[[#This Row],[ReisetidOslo-T]]&gt;=L$436,0,100*(L$436-Tabell2[[#This Row],[ReisetidOslo-T]])/L$439))</f>
        <v>74.957221206437666</v>
      </c>
      <c r="V132" s="7">
        <f>100-(M$436-Tabell2[[#This Row],[Beftettotal-T]])*100/M$439</f>
        <v>34.911168850492743</v>
      </c>
      <c r="W132" s="7">
        <f>100-(N$436-Tabell2[[#This Row],[Befvekst10-T]])*100/N$439</f>
        <v>30.281102113873246</v>
      </c>
      <c r="X132" s="7">
        <f>100-(O$436-Tabell2[[#This Row],[Kvinneandel-T]])*100/O$439</f>
        <v>45.499384499369128</v>
      </c>
      <c r="Y132" s="7">
        <f>(P$436-Tabell2[[#This Row],[Eldreandel-T]])*100/P$439</f>
        <v>61.17324883826204</v>
      </c>
      <c r="Z132" s="7">
        <f>100-(Q$436-Tabell2[[#This Row],[Sysselsettingsvekst10-T]])*100/Q$439</f>
        <v>5.8349367027212082</v>
      </c>
      <c r="AA132" s="7">
        <f>100-(R$436-Tabell2[[#This Row],[Yrkesaktivandel-T]])*100/R$439</f>
        <v>2.4863433186588111</v>
      </c>
      <c r="AB132" s="7">
        <f>100-(S$436-Tabell2[[#This Row],[Inntekt-T]])*100/S$439</f>
        <v>66.473183190155567</v>
      </c>
      <c r="AC132" s="55">
        <f>Tabell2[[#This Row],[NIBR11-I]]*Vekter!$B$3</f>
        <v>14</v>
      </c>
      <c r="AD132" s="55">
        <f>Tabell2[[#This Row],[ReisetidOslo-I]]*Vekter!$C$3</f>
        <v>7.4957221206437668</v>
      </c>
      <c r="AE132" s="55">
        <f>Tabell2[[#This Row],[Beftettotal-I]]*Vekter!$D$3</f>
        <v>3.4911168850492746</v>
      </c>
      <c r="AF132" s="55">
        <f>Tabell2[[#This Row],[Befvekst10-I]]*Vekter!$E$3</f>
        <v>6.0562204227746497</v>
      </c>
      <c r="AG132" s="55">
        <f>Tabell2[[#This Row],[Kvinneandel-I]]*Vekter!$F$3</f>
        <v>2.2749692249684563</v>
      </c>
      <c r="AH132" s="55">
        <f>Tabell2[[#This Row],[Eldreandel-I]]*Vekter!$G$3</f>
        <v>3.0586624419131021</v>
      </c>
      <c r="AI132" s="55">
        <f>Tabell2[[#This Row],[Sysselsettingsvekst10-I]]*Vekter!$H$3</f>
        <v>0.58349367027212085</v>
      </c>
      <c r="AJ132" s="55">
        <f>Tabell2[[#This Row],[Yrkesaktivandel-I]]*Vekter!$J$3</f>
        <v>0.24863433186588113</v>
      </c>
      <c r="AK132" s="55">
        <f>Tabell2[[#This Row],[Inntekt-I]]*Vekter!$L$3</f>
        <v>6.6473183190155574</v>
      </c>
      <c r="AL132" s="56">
        <f>SUM(Tabell2[[#This Row],[NIBR11-v]:[Inntekt-v]])</f>
        <v>43.856137416502804</v>
      </c>
    </row>
    <row r="133" spans="1:38" x14ac:dyDescent="0.25">
      <c r="A133" s="2" t="s">
        <v>130</v>
      </c>
      <c r="B133">
        <f>'Rådata-K'!M132</f>
        <v>4</v>
      </c>
      <c r="C133" s="7">
        <f>'Rådata-K'!L132</f>
        <v>132.883333333</v>
      </c>
      <c r="D133" s="34">
        <f>'Rådata-K'!N132</f>
        <v>34.837864395676384</v>
      </c>
      <c r="E133" s="34">
        <f>'Rådata-K'!O132</f>
        <v>1.0162408585810523E-2</v>
      </c>
      <c r="F133" s="34">
        <f>'Rådata-K'!P132</f>
        <v>0.1013538924407672</v>
      </c>
      <c r="G133" s="34">
        <f>'Rådata-K'!Q132</f>
        <v>0.18559608875517111</v>
      </c>
      <c r="H133" s="34">
        <f>'Rådata-K'!R132</f>
        <v>4.210028382213804E-2</v>
      </c>
      <c r="I133" s="34">
        <f>'Rådata-K'!S132</f>
        <v>0.82762063227953409</v>
      </c>
      <c r="J133" s="22">
        <f>'Rådata-K'!K132</f>
        <v>349100</v>
      </c>
      <c r="K133" s="22">
        <f>Tabell2[[#This Row],[NIBR11]]</f>
        <v>4</v>
      </c>
      <c r="L133" s="32">
        <f>IF(Tabell2[[#This Row],[ReisetidOslo]]&lt;=C$434,C$434,IF(Tabell2[[#This Row],[ReisetidOslo]]&gt;=C$435,C$435,Tabell2[[#This Row],[ReisetidOslo]]))</f>
        <v>132.883333333</v>
      </c>
      <c r="M133" s="32">
        <f>IF(Tabell2[[#This Row],[Beftettotal]]&lt;=D$434,D$434,IF(Tabell2[[#This Row],[Beftettotal]]&gt;=D$435,D$435,Tabell2[[#This Row],[Beftettotal]]))</f>
        <v>34.837864395676384</v>
      </c>
      <c r="N133" s="34">
        <f>IF(Tabell2[[#This Row],[Befvekst10]]&lt;=E$434,E$434,IF(Tabell2[[#This Row],[Befvekst10]]&gt;=E$435,E$435,Tabell2[[#This Row],[Befvekst10]]))</f>
        <v>1.0162408585810523E-2</v>
      </c>
      <c r="O133" s="34">
        <f>IF(Tabell2[[#This Row],[Kvinneandel]]&lt;=F$434,F$434,IF(Tabell2[[#This Row],[Kvinneandel]]&gt;=F$435,F$435,Tabell2[[#This Row],[Kvinneandel]]))</f>
        <v>0.1013538924407672</v>
      </c>
      <c r="P133" s="34">
        <f>IF(Tabell2[[#This Row],[Eldreandel]]&lt;=G$434,G$434,IF(Tabell2[[#This Row],[Eldreandel]]&gt;=G$435,G$435,Tabell2[[#This Row],[Eldreandel]]))</f>
        <v>0.18559608875517111</v>
      </c>
      <c r="Q133" s="34">
        <f>IF(Tabell2[[#This Row],[Sysselsettingsvekst10]]&lt;=H$434,H$434,IF(Tabell2[[#This Row],[Sysselsettingsvekst10]]&gt;=H$435,H$435,Tabell2[[#This Row],[Sysselsettingsvekst10]]))</f>
        <v>4.210028382213804E-2</v>
      </c>
      <c r="R133" s="34">
        <f>IF(Tabell2[[#This Row],[Yrkesaktivandel]]&lt;=I$434,I$434,IF(Tabell2[[#This Row],[Yrkesaktivandel]]&gt;=I$435,I$435,Tabell2[[#This Row],[Yrkesaktivandel]]))</f>
        <v>0.83197552842263423</v>
      </c>
      <c r="S133" s="22">
        <f>IF(Tabell2[[#This Row],[Inntekt]]&lt;=J$434,J$434,IF(Tabell2[[#This Row],[Inntekt]]&gt;=J$435,J$435,Tabell2[[#This Row],[Inntekt]]))</f>
        <v>349100</v>
      </c>
      <c r="T133" s="22">
        <f>IF(Tabell2[[#This Row],[NIBR11-T]]&lt;=K$437,100,IF(Tabell2[[#This Row],[NIBR11-T]]&gt;=K$436,0,100*(K$436-Tabell2[[#This Row],[NIBR11-T]])/K$439))</f>
        <v>70</v>
      </c>
      <c r="U133" s="7">
        <f>IF(Tabell2[[#This Row],[ReisetidOslo-T]]&lt;=L$437,100,IF(Tabell2[[#This Row],[ReisetidOslo-T]]&gt;=L$436,0,100*(L$436-Tabell2[[#This Row],[ReisetidOslo-T]])/L$439))</f>
        <v>64.748811700332681</v>
      </c>
      <c r="V133" s="7">
        <f>100-(M$436-Tabell2[[#This Row],[Beftettotal-T]])*100/M$439</f>
        <v>25.9208810630399</v>
      </c>
      <c r="W133" s="7">
        <f>100-(N$436-Tabell2[[#This Row],[Befvekst10-T]])*100/N$439</f>
        <v>34.771115030399031</v>
      </c>
      <c r="X133" s="7">
        <f>100-(O$436-Tabell2[[#This Row],[Kvinneandel-T]])*100/O$439</f>
        <v>28.70711352681252</v>
      </c>
      <c r="Y133" s="7">
        <f>(P$436-Tabell2[[#This Row],[Eldreandel-T]])*100/P$439</f>
        <v>31.545426444986337</v>
      </c>
      <c r="Z133" s="7">
        <f>100-(Q$436-Tabell2[[#This Row],[Sysselsettingsvekst10-T]])*100/Q$439</f>
        <v>33.275119063499744</v>
      </c>
      <c r="AA133" s="7">
        <f>100-(R$436-Tabell2[[#This Row],[Yrkesaktivandel-T]])*100/R$439</f>
        <v>0</v>
      </c>
      <c r="AB133" s="7">
        <f>100-(S$436-Tabell2[[#This Row],[Inntekt-T]])*100/S$439</f>
        <v>20.269328999303454</v>
      </c>
      <c r="AC133" s="55">
        <f>Tabell2[[#This Row],[NIBR11-I]]*Vekter!$B$3</f>
        <v>14</v>
      </c>
      <c r="AD133" s="55">
        <f>Tabell2[[#This Row],[ReisetidOslo-I]]*Vekter!$C$3</f>
        <v>6.4748811700332682</v>
      </c>
      <c r="AE133" s="55">
        <f>Tabell2[[#This Row],[Beftettotal-I]]*Vekter!$D$3</f>
        <v>2.59208810630399</v>
      </c>
      <c r="AF133" s="55">
        <f>Tabell2[[#This Row],[Befvekst10-I]]*Vekter!$E$3</f>
        <v>6.9542230060798067</v>
      </c>
      <c r="AG133" s="55">
        <f>Tabell2[[#This Row],[Kvinneandel-I]]*Vekter!$F$3</f>
        <v>1.4353556763406261</v>
      </c>
      <c r="AH133" s="55">
        <f>Tabell2[[#This Row],[Eldreandel-I]]*Vekter!$G$3</f>
        <v>1.5772713222493169</v>
      </c>
      <c r="AI133" s="55">
        <f>Tabell2[[#This Row],[Sysselsettingsvekst10-I]]*Vekter!$H$3</f>
        <v>3.3275119063499745</v>
      </c>
      <c r="AJ133" s="55">
        <f>Tabell2[[#This Row],[Yrkesaktivandel-I]]*Vekter!$J$3</f>
        <v>0</v>
      </c>
      <c r="AK133" s="55">
        <f>Tabell2[[#This Row],[Inntekt-I]]*Vekter!$L$3</f>
        <v>2.0269328999303453</v>
      </c>
      <c r="AL133" s="56">
        <f>SUM(Tabell2[[#This Row],[NIBR11-v]:[Inntekt-v]])</f>
        <v>38.388264087287332</v>
      </c>
    </row>
    <row r="134" spans="1:38" x14ac:dyDescent="0.25">
      <c r="A134" s="2" t="s">
        <v>131</v>
      </c>
      <c r="B134">
        <f>'Rådata-K'!M133</f>
        <v>4</v>
      </c>
      <c r="C134" s="7">
        <f>'Rådata-K'!L133</f>
        <v>140.85</v>
      </c>
      <c r="D134" s="34">
        <f>'Rådata-K'!N133</f>
        <v>3.868157097423738</v>
      </c>
      <c r="E134" s="34">
        <f>'Rådata-K'!O133</f>
        <v>-7.7238715906348121E-3</v>
      </c>
      <c r="F134" s="34">
        <f>'Rådata-K'!P133</f>
        <v>0.10240817319387011</v>
      </c>
      <c r="G134" s="34">
        <f>'Rådata-K'!Q133</f>
        <v>0.18049136463147653</v>
      </c>
      <c r="H134" s="34">
        <f>'Rådata-K'!R133</f>
        <v>0.10070052539404561</v>
      </c>
      <c r="I134" s="34">
        <f>'Rådata-K'!S133</f>
        <v>0.85471204188481675</v>
      </c>
      <c r="J134" s="22">
        <f>'Rådata-K'!K133</f>
        <v>343200</v>
      </c>
      <c r="K134" s="22">
        <f>Tabell2[[#This Row],[NIBR11]]</f>
        <v>4</v>
      </c>
      <c r="L134" s="32">
        <f>IF(Tabell2[[#This Row],[ReisetidOslo]]&lt;=C$434,C$434,IF(Tabell2[[#This Row],[ReisetidOslo]]&gt;=C$435,C$435,Tabell2[[#This Row],[ReisetidOslo]]))</f>
        <v>140.85</v>
      </c>
      <c r="M134" s="32">
        <f>IF(Tabell2[[#This Row],[Beftettotal]]&lt;=D$434,D$434,IF(Tabell2[[#This Row],[Beftettotal]]&gt;=D$435,D$435,Tabell2[[#This Row],[Beftettotal]]))</f>
        <v>3.868157097423738</v>
      </c>
      <c r="N134" s="34">
        <f>IF(Tabell2[[#This Row],[Befvekst10]]&lt;=E$434,E$434,IF(Tabell2[[#This Row],[Befvekst10]]&gt;=E$435,E$435,Tabell2[[#This Row],[Befvekst10]]))</f>
        <v>-7.7238715906348121E-3</v>
      </c>
      <c r="O134" s="34">
        <f>IF(Tabell2[[#This Row],[Kvinneandel]]&lt;=F$434,F$434,IF(Tabell2[[#This Row],[Kvinneandel]]&gt;=F$435,F$435,Tabell2[[#This Row],[Kvinneandel]]))</f>
        <v>0.10240817319387011</v>
      </c>
      <c r="P134" s="34">
        <f>IF(Tabell2[[#This Row],[Eldreandel]]&lt;=G$434,G$434,IF(Tabell2[[#This Row],[Eldreandel]]&gt;=G$435,G$435,Tabell2[[#This Row],[Eldreandel]]))</f>
        <v>0.18049136463147653</v>
      </c>
      <c r="Q134" s="34">
        <f>IF(Tabell2[[#This Row],[Sysselsettingsvekst10]]&lt;=H$434,H$434,IF(Tabell2[[#This Row],[Sysselsettingsvekst10]]&gt;=H$435,H$435,Tabell2[[#This Row],[Sysselsettingsvekst10]]))</f>
        <v>0.10070052539404561</v>
      </c>
      <c r="R134" s="34">
        <f>IF(Tabell2[[#This Row],[Yrkesaktivandel]]&lt;=I$434,I$434,IF(Tabell2[[#This Row],[Yrkesaktivandel]]&gt;=I$435,I$435,Tabell2[[#This Row],[Yrkesaktivandel]]))</f>
        <v>0.85471204188481675</v>
      </c>
      <c r="S134" s="22">
        <f>IF(Tabell2[[#This Row],[Inntekt]]&lt;=J$434,J$434,IF(Tabell2[[#This Row],[Inntekt]]&gt;=J$435,J$435,Tabell2[[#This Row],[Inntekt]]))</f>
        <v>343200</v>
      </c>
      <c r="T134" s="22">
        <f>IF(Tabell2[[#This Row],[NIBR11-T]]&lt;=K$437,100,IF(Tabell2[[#This Row],[NIBR11-T]]&gt;=K$436,0,100*(K$436-Tabell2[[#This Row],[NIBR11-T]])/K$439))</f>
        <v>70</v>
      </c>
      <c r="U134" s="7">
        <f>IF(Tabell2[[#This Row],[ReisetidOslo-T]]&lt;=L$437,100,IF(Tabell2[[#This Row],[ReisetidOslo-T]]&gt;=L$436,0,100*(L$436-Tabell2[[#This Row],[ReisetidOslo-T]])/L$439))</f>
        <v>61.25338208409903</v>
      </c>
      <c r="V134" s="7">
        <f>100-(M$436-Tabell2[[#This Row],[Beftettotal-T]])*100/M$439</f>
        <v>1.9636204428695549</v>
      </c>
      <c r="W134" s="7">
        <f>100-(N$436-Tabell2[[#This Row],[Befvekst10-T]])*100/N$439</f>
        <v>27.569444812516338</v>
      </c>
      <c r="X134" s="7">
        <f>100-(O$436-Tabell2[[#This Row],[Kvinneandel-T]])*100/O$439</f>
        <v>31.493030880331858</v>
      </c>
      <c r="Y134" s="7">
        <f>(P$436-Tabell2[[#This Row],[Eldreandel-T]])*100/P$439</f>
        <v>37.138937798398906</v>
      </c>
      <c r="Z134" s="7">
        <f>100-(Q$436-Tabell2[[#This Row],[Sysselsettingsvekst10-T]])*100/Q$439</f>
        <v>50.711087954894857</v>
      </c>
      <c r="AA134" s="7">
        <f>100-(R$436-Tabell2[[#This Row],[Yrkesaktivandel-T]])*100/R$439</f>
        <v>17.481917595763576</v>
      </c>
      <c r="AB134" s="7">
        <f>100-(S$436-Tabell2[[#This Row],[Inntekt-T]])*100/S$439</f>
        <v>13.420013930810313</v>
      </c>
      <c r="AC134" s="55">
        <f>Tabell2[[#This Row],[NIBR11-I]]*Vekter!$B$3</f>
        <v>14</v>
      </c>
      <c r="AD134" s="55">
        <f>Tabell2[[#This Row],[ReisetidOslo-I]]*Vekter!$C$3</f>
        <v>6.1253382084099037</v>
      </c>
      <c r="AE134" s="55">
        <f>Tabell2[[#This Row],[Beftettotal-I]]*Vekter!$D$3</f>
        <v>0.1963620442869555</v>
      </c>
      <c r="AF134" s="55">
        <f>Tabell2[[#This Row],[Befvekst10-I]]*Vekter!$E$3</f>
        <v>5.5138889625032679</v>
      </c>
      <c r="AG134" s="55">
        <f>Tabell2[[#This Row],[Kvinneandel-I]]*Vekter!$F$3</f>
        <v>1.5746515440165929</v>
      </c>
      <c r="AH134" s="55">
        <f>Tabell2[[#This Row],[Eldreandel-I]]*Vekter!$G$3</f>
        <v>1.8569468899199455</v>
      </c>
      <c r="AI134" s="55">
        <f>Tabell2[[#This Row],[Sysselsettingsvekst10-I]]*Vekter!$H$3</f>
        <v>5.0711087954894865</v>
      </c>
      <c r="AJ134" s="55">
        <f>Tabell2[[#This Row],[Yrkesaktivandel-I]]*Vekter!$J$3</f>
        <v>1.7481917595763576</v>
      </c>
      <c r="AK134" s="55">
        <f>Tabell2[[#This Row],[Inntekt-I]]*Vekter!$L$3</f>
        <v>1.3420013930810315</v>
      </c>
      <c r="AL134" s="56">
        <f>SUM(Tabell2[[#This Row],[NIBR11-v]:[Inntekt-v]])</f>
        <v>37.428489597283544</v>
      </c>
    </row>
    <row r="135" spans="1:38" x14ac:dyDescent="0.25">
      <c r="A135" s="2" t="s">
        <v>132</v>
      </c>
      <c r="B135">
        <f>'Rådata-K'!M134</f>
        <v>4</v>
      </c>
      <c r="C135" s="7">
        <f>'Rådata-K'!L134</f>
        <v>125.616666667</v>
      </c>
      <c r="D135" s="34">
        <f>'Rådata-K'!N134</f>
        <v>15.429728408852894</v>
      </c>
      <c r="E135" s="34">
        <f>'Rådata-K'!O134</f>
        <v>9.9009900990099098E-3</v>
      </c>
      <c r="F135" s="34">
        <f>'Rådata-K'!P134</f>
        <v>0.10090497737556561</v>
      </c>
      <c r="G135" s="34">
        <f>'Rådata-K'!Q134</f>
        <v>0.18325791855203619</v>
      </c>
      <c r="H135" s="34">
        <f>'Rådata-K'!R134</f>
        <v>7.7910579902611854E-2</v>
      </c>
      <c r="I135" s="34">
        <f>'Rådata-K'!S134</f>
        <v>0.83629989212513489</v>
      </c>
      <c r="J135" s="22">
        <f>'Rådata-K'!K134</f>
        <v>346900</v>
      </c>
      <c r="K135" s="22">
        <f>Tabell2[[#This Row],[NIBR11]]</f>
        <v>4</v>
      </c>
      <c r="L135" s="32">
        <f>IF(Tabell2[[#This Row],[ReisetidOslo]]&lt;=C$434,C$434,IF(Tabell2[[#This Row],[ReisetidOslo]]&gt;=C$435,C$435,Tabell2[[#This Row],[ReisetidOslo]]))</f>
        <v>125.616666667</v>
      </c>
      <c r="M135" s="32">
        <f>IF(Tabell2[[#This Row],[Beftettotal]]&lt;=D$434,D$434,IF(Tabell2[[#This Row],[Beftettotal]]&gt;=D$435,D$435,Tabell2[[#This Row],[Beftettotal]]))</f>
        <v>15.429728408852894</v>
      </c>
      <c r="N135" s="34">
        <f>IF(Tabell2[[#This Row],[Befvekst10]]&lt;=E$434,E$434,IF(Tabell2[[#This Row],[Befvekst10]]&gt;=E$435,E$435,Tabell2[[#This Row],[Befvekst10]]))</f>
        <v>9.9009900990099098E-3</v>
      </c>
      <c r="O135" s="34">
        <f>IF(Tabell2[[#This Row],[Kvinneandel]]&lt;=F$434,F$434,IF(Tabell2[[#This Row],[Kvinneandel]]&gt;=F$435,F$435,Tabell2[[#This Row],[Kvinneandel]]))</f>
        <v>0.10090497737556561</v>
      </c>
      <c r="P135" s="34">
        <f>IF(Tabell2[[#This Row],[Eldreandel]]&lt;=G$434,G$434,IF(Tabell2[[#This Row],[Eldreandel]]&gt;=G$435,G$435,Tabell2[[#This Row],[Eldreandel]]))</f>
        <v>0.18325791855203619</v>
      </c>
      <c r="Q135" s="34">
        <f>IF(Tabell2[[#This Row],[Sysselsettingsvekst10]]&lt;=H$434,H$434,IF(Tabell2[[#This Row],[Sysselsettingsvekst10]]&gt;=H$435,H$435,Tabell2[[#This Row],[Sysselsettingsvekst10]]))</f>
        <v>7.7910579902611854E-2</v>
      </c>
      <c r="R135" s="34">
        <f>IF(Tabell2[[#This Row],[Yrkesaktivandel]]&lt;=I$434,I$434,IF(Tabell2[[#This Row],[Yrkesaktivandel]]&gt;=I$435,I$435,Tabell2[[#This Row],[Yrkesaktivandel]]))</f>
        <v>0.83629989212513489</v>
      </c>
      <c r="S135" s="22">
        <f>IF(Tabell2[[#This Row],[Inntekt]]&lt;=J$434,J$434,IF(Tabell2[[#This Row],[Inntekt]]&gt;=J$435,J$435,Tabell2[[#This Row],[Inntekt]]))</f>
        <v>346900</v>
      </c>
      <c r="T135" s="22">
        <f>IF(Tabell2[[#This Row],[NIBR11-T]]&lt;=K$437,100,IF(Tabell2[[#This Row],[NIBR11-T]]&gt;=K$436,0,100*(K$436-Tabell2[[#This Row],[NIBR11-T]])/K$439))</f>
        <v>70</v>
      </c>
      <c r="U135" s="7">
        <f>IF(Tabell2[[#This Row],[ReisetidOslo-T]]&lt;=L$437,100,IF(Tabell2[[#This Row],[ReisetidOslo-T]]&gt;=L$436,0,100*(L$436-Tabell2[[#This Row],[ReisetidOslo-T]])/L$439))</f>
        <v>67.93711151722448</v>
      </c>
      <c r="V135" s="7">
        <f>100-(M$436-Tabell2[[#This Row],[Beftettotal-T]])*100/M$439</f>
        <v>10.907314176204281</v>
      </c>
      <c r="W135" s="7">
        <f>100-(N$436-Tabell2[[#This Row],[Befvekst10-T]])*100/N$439</f>
        <v>34.665858391666774</v>
      </c>
      <c r="X135" s="7">
        <f>100-(O$436-Tabell2[[#This Row],[Kvinneandel-T]])*100/O$439</f>
        <v>27.520863785725467</v>
      </c>
      <c r="Y135" s="7">
        <f>(P$436-Tabell2[[#This Row],[Eldreandel-T]])*100/P$439</f>
        <v>34.107480977324201</v>
      </c>
      <c r="Z135" s="7">
        <f>100-(Q$436-Tabell2[[#This Row],[Sysselsettingsvekst10-T]])*100/Q$439</f>
        <v>43.930146955912313</v>
      </c>
      <c r="AA135" s="7">
        <f>100-(R$436-Tabell2[[#This Row],[Yrkesaktivandel-T]])*100/R$439</f>
        <v>3.32496756932278</v>
      </c>
      <c r="AB135" s="7">
        <f>100-(S$436-Tabell2[[#This Row],[Inntekt-T]])*100/S$439</f>
        <v>17.715347109356856</v>
      </c>
      <c r="AC135" s="55">
        <f>Tabell2[[#This Row],[NIBR11-I]]*Vekter!$B$3</f>
        <v>14</v>
      </c>
      <c r="AD135" s="55">
        <f>Tabell2[[#This Row],[ReisetidOslo-I]]*Vekter!$C$3</f>
        <v>6.793711151722448</v>
      </c>
      <c r="AE135" s="55">
        <f>Tabell2[[#This Row],[Beftettotal-I]]*Vekter!$D$3</f>
        <v>1.0907314176204281</v>
      </c>
      <c r="AF135" s="55">
        <f>Tabell2[[#This Row],[Befvekst10-I]]*Vekter!$E$3</f>
        <v>6.9331716783333555</v>
      </c>
      <c r="AG135" s="55">
        <f>Tabell2[[#This Row],[Kvinneandel-I]]*Vekter!$F$3</f>
        <v>1.3760431892862734</v>
      </c>
      <c r="AH135" s="55">
        <f>Tabell2[[#This Row],[Eldreandel-I]]*Vekter!$G$3</f>
        <v>1.7053740488662101</v>
      </c>
      <c r="AI135" s="55">
        <f>Tabell2[[#This Row],[Sysselsettingsvekst10-I]]*Vekter!$H$3</f>
        <v>4.3930146955912317</v>
      </c>
      <c r="AJ135" s="55">
        <f>Tabell2[[#This Row],[Yrkesaktivandel-I]]*Vekter!$J$3</f>
        <v>0.33249675693227804</v>
      </c>
      <c r="AK135" s="55">
        <f>Tabell2[[#This Row],[Inntekt-I]]*Vekter!$L$3</f>
        <v>1.7715347109356856</v>
      </c>
      <c r="AL135" s="56">
        <f>SUM(Tabell2[[#This Row],[NIBR11-v]:[Inntekt-v]])</f>
        <v>38.396077649287911</v>
      </c>
    </row>
    <row r="136" spans="1:38" x14ac:dyDescent="0.25">
      <c r="A136" s="2" t="s">
        <v>133</v>
      </c>
      <c r="B136">
        <f>'Rådata-K'!M135</f>
        <v>5</v>
      </c>
      <c r="C136" s="7">
        <f>'Rådata-K'!L135</f>
        <v>114.983333333</v>
      </c>
      <c r="D136" s="34">
        <f>'Rådata-K'!N135</f>
        <v>22.708103795448501</v>
      </c>
      <c r="E136" s="34">
        <f>'Rådata-K'!O135</f>
        <v>0.13869308439702799</v>
      </c>
      <c r="F136" s="34">
        <f>'Rådata-K'!P135</f>
        <v>0.14070603981930735</v>
      </c>
      <c r="G136" s="34">
        <f>'Rådata-K'!Q135</f>
        <v>0.15308683285929395</v>
      </c>
      <c r="H136" s="34">
        <f>'Rådata-K'!R135</f>
        <v>9.012199921290831E-2</v>
      </c>
      <c r="I136" s="34">
        <f>'Rådata-K'!S135</f>
        <v>0.80595744680851067</v>
      </c>
      <c r="J136" s="22">
        <f>'Rådata-K'!K135</f>
        <v>346900</v>
      </c>
      <c r="K136" s="22">
        <f>Tabell2[[#This Row],[NIBR11]]</f>
        <v>5</v>
      </c>
      <c r="L136" s="32">
        <f>IF(Tabell2[[#This Row],[ReisetidOslo]]&lt;=C$434,C$434,IF(Tabell2[[#This Row],[ReisetidOslo]]&gt;=C$435,C$435,Tabell2[[#This Row],[ReisetidOslo]]))</f>
        <v>114.983333333</v>
      </c>
      <c r="M136" s="32">
        <f>IF(Tabell2[[#This Row],[Beftettotal]]&lt;=D$434,D$434,IF(Tabell2[[#This Row],[Beftettotal]]&gt;=D$435,D$435,Tabell2[[#This Row],[Beftettotal]]))</f>
        <v>22.708103795448501</v>
      </c>
      <c r="N136" s="34">
        <f>IF(Tabell2[[#This Row],[Befvekst10]]&lt;=E$434,E$434,IF(Tabell2[[#This Row],[Befvekst10]]&gt;=E$435,E$435,Tabell2[[#This Row],[Befvekst10]]))</f>
        <v>0.13869308439702799</v>
      </c>
      <c r="O136" s="34">
        <f>IF(Tabell2[[#This Row],[Kvinneandel]]&lt;=F$434,F$434,IF(Tabell2[[#This Row],[Kvinneandel]]&gt;=F$435,F$435,Tabell2[[#This Row],[Kvinneandel]]))</f>
        <v>0.12833341426573511</v>
      </c>
      <c r="P136" s="34">
        <f>IF(Tabell2[[#This Row],[Eldreandel]]&lt;=G$434,G$434,IF(Tabell2[[#This Row],[Eldreandel]]&gt;=G$435,G$435,Tabell2[[#This Row],[Eldreandel]]))</f>
        <v>0.15308683285929395</v>
      </c>
      <c r="Q136" s="34">
        <f>IF(Tabell2[[#This Row],[Sysselsettingsvekst10]]&lt;=H$434,H$434,IF(Tabell2[[#This Row],[Sysselsettingsvekst10]]&gt;=H$435,H$435,Tabell2[[#This Row],[Sysselsettingsvekst10]]))</f>
        <v>9.012199921290831E-2</v>
      </c>
      <c r="R136" s="34">
        <f>IF(Tabell2[[#This Row],[Yrkesaktivandel]]&lt;=I$434,I$434,IF(Tabell2[[#This Row],[Yrkesaktivandel]]&gt;=I$435,I$435,Tabell2[[#This Row],[Yrkesaktivandel]]))</f>
        <v>0.83197552842263423</v>
      </c>
      <c r="S136" s="22">
        <f>IF(Tabell2[[#This Row],[Inntekt]]&lt;=J$434,J$434,IF(Tabell2[[#This Row],[Inntekt]]&gt;=J$435,J$435,Tabell2[[#This Row],[Inntekt]]))</f>
        <v>346900</v>
      </c>
      <c r="T136" s="22">
        <f>IF(Tabell2[[#This Row],[NIBR11-T]]&lt;=K$437,100,IF(Tabell2[[#This Row],[NIBR11-T]]&gt;=K$436,0,100*(K$436-Tabell2[[#This Row],[NIBR11-T]])/K$439))</f>
        <v>60</v>
      </c>
      <c r="U136" s="7">
        <f>IF(Tabell2[[#This Row],[ReisetidOslo-T]]&lt;=L$437,100,IF(Tabell2[[#This Row],[ReisetidOslo-T]]&gt;=L$436,0,100*(L$436-Tabell2[[#This Row],[ReisetidOslo-T]])/L$439))</f>
        <v>72.602559415139908</v>
      </c>
      <c r="V136" s="7">
        <f>100-(M$436-Tabell2[[#This Row],[Beftettotal-T]])*100/M$439</f>
        <v>16.537652698581667</v>
      </c>
      <c r="W136" s="7">
        <f>100-(N$436-Tabell2[[#This Row],[Befvekst10-T]])*100/N$439</f>
        <v>86.522263449339675</v>
      </c>
      <c r="X136" s="7">
        <f>100-(O$436-Tabell2[[#This Row],[Kvinneandel-T]])*100/O$439</f>
        <v>100</v>
      </c>
      <c r="Y136" s="7">
        <f>(P$436-Tabell2[[#This Row],[Eldreandel-T]])*100/P$439</f>
        <v>67.167506608051951</v>
      </c>
      <c r="Z136" s="7">
        <f>100-(Q$436-Tabell2[[#This Row],[Sysselsettingsvekst10-T]])*100/Q$439</f>
        <v>47.563543704846218</v>
      </c>
      <c r="AA136" s="7">
        <f>100-(R$436-Tabell2[[#This Row],[Yrkesaktivandel-T]])*100/R$439</f>
        <v>0</v>
      </c>
      <c r="AB136" s="7">
        <f>100-(S$436-Tabell2[[#This Row],[Inntekt-T]])*100/S$439</f>
        <v>17.715347109356856</v>
      </c>
      <c r="AC136" s="55">
        <f>Tabell2[[#This Row],[NIBR11-I]]*Vekter!$B$3</f>
        <v>12</v>
      </c>
      <c r="AD136" s="55">
        <f>Tabell2[[#This Row],[ReisetidOslo-I]]*Vekter!$C$3</f>
        <v>7.2602559415139911</v>
      </c>
      <c r="AE136" s="55">
        <f>Tabell2[[#This Row],[Beftettotal-I]]*Vekter!$D$3</f>
        <v>1.6537652698581669</v>
      </c>
      <c r="AF136" s="55">
        <f>Tabell2[[#This Row],[Befvekst10-I]]*Vekter!$E$3</f>
        <v>17.304452689867936</v>
      </c>
      <c r="AG136" s="55">
        <f>Tabell2[[#This Row],[Kvinneandel-I]]*Vekter!$F$3</f>
        <v>5</v>
      </c>
      <c r="AH136" s="55">
        <f>Tabell2[[#This Row],[Eldreandel-I]]*Vekter!$G$3</f>
        <v>3.3583753304025978</v>
      </c>
      <c r="AI136" s="55">
        <f>Tabell2[[#This Row],[Sysselsettingsvekst10-I]]*Vekter!$H$3</f>
        <v>4.7563543704846216</v>
      </c>
      <c r="AJ136" s="55">
        <f>Tabell2[[#This Row],[Yrkesaktivandel-I]]*Vekter!$J$3</f>
        <v>0</v>
      </c>
      <c r="AK136" s="55">
        <f>Tabell2[[#This Row],[Inntekt-I]]*Vekter!$L$3</f>
        <v>1.7715347109356856</v>
      </c>
      <c r="AL136" s="56">
        <f>SUM(Tabell2[[#This Row],[NIBR11-v]:[Inntekt-v]])</f>
        <v>53.104738313062988</v>
      </c>
    </row>
    <row r="137" spans="1:38" x14ac:dyDescent="0.25">
      <c r="A137" s="2" t="s">
        <v>134</v>
      </c>
      <c r="B137">
        <f>'Rådata-K'!M136</f>
        <v>5</v>
      </c>
      <c r="C137" s="7">
        <f>'Rådata-K'!L136</f>
        <v>115.05</v>
      </c>
      <c r="D137" s="34">
        <f>'Rådata-K'!N136</f>
        <v>13.558370250202781</v>
      </c>
      <c r="E137" s="34">
        <f>'Rådata-K'!O136</f>
        <v>5.3203793661809051E-3</v>
      </c>
      <c r="F137" s="34">
        <f>'Rådata-K'!P136</f>
        <v>0.11044638748274276</v>
      </c>
      <c r="G137" s="34">
        <f>'Rådata-K'!Q136</f>
        <v>0.17418315692590888</v>
      </c>
      <c r="H137" s="34">
        <f>'Rådata-K'!R136</f>
        <v>4.6707503828483876E-2</v>
      </c>
      <c r="I137" s="34">
        <f>'Rådata-K'!S136</f>
        <v>0.85387394620634283</v>
      </c>
      <c r="J137" s="22">
        <f>'Rådata-K'!K136</f>
        <v>357600</v>
      </c>
      <c r="K137" s="22">
        <f>Tabell2[[#This Row],[NIBR11]]</f>
        <v>5</v>
      </c>
      <c r="L137" s="32">
        <f>IF(Tabell2[[#This Row],[ReisetidOslo]]&lt;=C$434,C$434,IF(Tabell2[[#This Row],[ReisetidOslo]]&gt;=C$435,C$435,Tabell2[[#This Row],[ReisetidOslo]]))</f>
        <v>115.05</v>
      </c>
      <c r="M137" s="32">
        <f>IF(Tabell2[[#This Row],[Beftettotal]]&lt;=D$434,D$434,IF(Tabell2[[#This Row],[Beftettotal]]&gt;=D$435,D$435,Tabell2[[#This Row],[Beftettotal]]))</f>
        <v>13.558370250202781</v>
      </c>
      <c r="N137" s="34">
        <f>IF(Tabell2[[#This Row],[Befvekst10]]&lt;=E$434,E$434,IF(Tabell2[[#This Row],[Befvekst10]]&gt;=E$435,E$435,Tabell2[[#This Row],[Befvekst10]]))</f>
        <v>5.3203793661809051E-3</v>
      </c>
      <c r="O137" s="34">
        <f>IF(Tabell2[[#This Row],[Kvinneandel]]&lt;=F$434,F$434,IF(Tabell2[[#This Row],[Kvinneandel]]&gt;=F$435,F$435,Tabell2[[#This Row],[Kvinneandel]]))</f>
        <v>0.11044638748274276</v>
      </c>
      <c r="P137" s="34">
        <f>IF(Tabell2[[#This Row],[Eldreandel]]&lt;=G$434,G$434,IF(Tabell2[[#This Row],[Eldreandel]]&gt;=G$435,G$435,Tabell2[[#This Row],[Eldreandel]]))</f>
        <v>0.17418315692590888</v>
      </c>
      <c r="Q137" s="34">
        <f>IF(Tabell2[[#This Row],[Sysselsettingsvekst10]]&lt;=H$434,H$434,IF(Tabell2[[#This Row],[Sysselsettingsvekst10]]&gt;=H$435,H$435,Tabell2[[#This Row],[Sysselsettingsvekst10]]))</f>
        <v>4.6707503828483876E-2</v>
      </c>
      <c r="R137" s="34">
        <f>IF(Tabell2[[#This Row],[Yrkesaktivandel]]&lt;=I$434,I$434,IF(Tabell2[[#This Row],[Yrkesaktivandel]]&gt;=I$435,I$435,Tabell2[[#This Row],[Yrkesaktivandel]]))</f>
        <v>0.85387394620634283</v>
      </c>
      <c r="S137" s="22">
        <f>IF(Tabell2[[#This Row],[Inntekt]]&lt;=J$434,J$434,IF(Tabell2[[#This Row],[Inntekt]]&gt;=J$435,J$435,Tabell2[[#This Row],[Inntekt]]))</f>
        <v>357600</v>
      </c>
      <c r="T137" s="22">
        <f>IF(Tabell2[[#This Row],[NIBR11-T]]&lt;=K$437,100,IF(Tabell2[[#This Row],[NIBR11-T]]&gt;=K$436,0,100*(K$436-Tabell2[[#This Row],[NIBR11-T]])/K$439))</f>
        <v>60</v>
      </c>
      <c r="U137" s="7">
        <f>IF(Tabell2[[#This Row],[ReisetidOslo-T]]&lt;=L$437,100,IF(Tabell2[[#This Row],[ReisetidOslo-T]]&gt;=L$436,0,100*(L$436-Tabell2[[#This Row],[ReisetidOslo-T]])/L$439))</f>
        <v>72.573308957955263</v>
      </c>
      <c r="V137" s="7">
        <f>100-(M$436-Tabell2[[#This Row],[Beftettotal-T]])*100/M$439</f>
        <v>9.4596861864172439</v>
      </c>
      <c r="W137" s="7">
        <f>100-(N$436-Tabell2[[#This Row],[Befvekst10-T]])*100/N$439</f>
        <v>32.821537070022117</v>
      </c>
      <c r="X137" s="7">
        <f>100-(O$436-Tabell2[[#This Row],[Kvinneandel-T]])*100/O$439</f>
        <v>52.7338631849805</v>
      </c>
      <c r="Y137" s="7">
        <f>(P$436-Tabell2[[#This Row],[Eldreandel-T]])*100/P$439</f>
        <v>44.051168619452447</v>
      </c>
      <c r="Z137" s="7">
        <f>100-(Q$436-Tabell2[[#This Row],[Sysselsettingsvekst10-T]])*100/Q$439</f>
        <v>34.645955472218048</v>
      </c>
      <c r="AA137" s="7">
        <f>100-(R$436-Tabell2[[#This Row],[Yrkesaktivandel-T]])*100/R$439</f>
        <v>16.837512743945965</v>
      </c>
      <c r="AB137" s="7">
        <f>100-(S$436-Tabell2[[#This Row],[Inntekt-T]])*100/S$439</f>
        <v>30.136986301369859</v>
      </c>
      <c r="AC137" s="55">
        <f>Tabell2[[#This Row],[NIBR11-I]]*Vekter!$B$3</f>
        <v>12</v>
      </c>
      <c r="AD137" s="55">
        <f>Tabell2[[#This Row],[ReisetidOslo-I]]*Vekter!$C$3</f>
        <v>7.2573308957955263</v>
      </c>
      <c r="AE137" s="55">
        <f>Tabell2[[#This Row],[Beftettotal-I]]*Vekter!$D$3</f>
        <v>0.94596861864172443</v>
      </c>
      <c r="AF137" s="55">
        <f>Tabell2[[#This Row],[Befvekst10-I]]*Vekter!$E$3</f>
        <v>6.564307414004424</v>
      </c>
      <c r="AG137" s="55">
        <f>Tabell2[[#This Row],[Kvinneandel-I]]*Vekter!$F$3</f>
        <v>2.6366931592490253</v>
      </c>
      <c r="AH137" s="55">
        <f>Tabell2[[#This Row],[Eldreandel-I]]*Vekter!$G$3</f>
        <v>2.2025584309726223</v>
      </c>
      <c r="AI137" s="55">
        <f>Tabell2[[#This Row],[Sysselsettingsvekst10-I]]*Vekter!$H$3</f>
        <v>3.4645955472218048</v>
      </c>
      <c r="AJ137" s="55">
        <f>Tabell2[[#This Row],[Yrkesaktivandel-I]]*Vekter!$J$3</f>
        <v>1.6837512743945966</v>
      </c>
      <c r="AK137" s="55">
        <f>Tabell2[[#This Row],[Inntekt-I]]*Vekter!$L$3</f>
        <v>3.0136986301369859</v>
      </c>
      <c r="AL137" s="56">
        <f>SUM(Tabell2[[#This Row],[NIBR11-v]:[Inntekt-v]])</f>
        <v>39.768903970416709</v>
      </c>
    </row>
    <row r="138" spans="1:38" x14ac:dyDescent="0.25">
      <c r="A138" s="2" t="s">
        <v>135</v>
      </c>
      <c r="B138">
        <f>'Rådata-K'!M137</f>
        <v>9</v>
      </c>
      <c r="C138" s="7">
        <f>'Rådata-K'!L137</f>
        <v>136.55000000000001</v>
      </c>
      <c r="D138" s="34">
        <f>'Rådata-K'!N137</f>
        <v>2.8915273797764236</v>
      </c>
      <c r="E138" s="34">
        <f>'Rådata-K'!O137</f>
        <v>-7.3197492163009414E-2</v>
      </c>
      <c r="F138" s="34">
        <f>'Rådata-K'!P137</f>
        <v>8.9294774226281071E-2</v>
      </c>
      <c r="G138" s="34">
        <f>'Rådata-K'!Q137</f>
        <v>0.18467782851344494</v>
      </c>
      <c r="H138" s="34">
        <f>'Rådata-K'!R137</f>
        <v>2.7133166726169167E-2</v>
      </c>
      <c r="I138" s="34">
        <f>'Rådata-K'!S137</f>
        <v>0.89134382566585957</v>
      </c>
      <c r="J138" s="22">
        <f>'Rådata-K'!K137</f>
        <v>365900</v>
      </c>
      <c r="K138" s="22">
        <f>Tabell2[[#This Row],[NIBR11]]</f>
        <v>9</v>
      </c>
      <c r="L138" s="32">
        <f>IF(Tabell2[[#This Row],[ReisetidOslo]]&lt;=C$434,C$434,IF(Tabell2[[#This Row],[ReisetidOslo]]&gt;=C$435,C$435,Tabell2[[#This Row],[ReisetidOslo]]))</f>
        <v>136.55000000000001</v>
      </c>
      <c r="M138" s="32">
        <f>IF(Tabell2[[#This Row],[Beftettotal]]&lt;=D$434,D$434,IF(Tabell2[[#This Row],[Beftettotal]]&gt;=D$435,D$435,Tabell2[[#This Row],[Beftettotal]]))</f>
        <v>2.8915273797764236</v>
      </c>
      <c r="N138" s="34">
        <f>IF(Tabell2[[#This Row],[Befvekst10]]&lt;=E$434,E$434,IF(Tabell2[[#This Row],[Befvekst10]]&gt;=E$435,E$435,Tabell2[[#This Row],[Befvekst10]]))</f>
        <v>-7.3197492163009414E-2</v>
      </c>
      <c r="O138" s="34">
        <f>IF(Tabell2[[#This Row],[Kvinneandel]]&lt;=F$434,F$434,IF(Tabell2[[#This Row],[Kvinneandel]]&gt;=F$435,F$435,Tabell2[[#This Row],[Kvinneandel]]))</f>
        <v>9.0490197137593403E-2</v>
      </c>
      <c r="P138" s="34">
        <f>IF(Tabell2[[#This Row],[Eldreandel]]&lt;=G$434,G$434,IF(Tabell2[[#This Row],[Eldreandel]]&gt;=G$435,G$435,Tabell2[[#This Row],[Eldreandel]]))</f>
        <v>0.18467782851344494</v>
      </c>
      <c r="Q138" s="34">
        <f>IF(Tabell2[[#This Row],[Sysselsettingsvekst10]]&lt;=H$434,H$434,IF(Tabell2[[#This Row],[Sysselsettingsvekst10]]&gt;=H$435,H$435,Tabell2[[#This Row],[Sysselsettingsvekst10]]))</f>
        <v>2.7133166726169167E-2</v>
      </c>
      <c r="R138" s="34">
        <f>IF(Tabell2[[#This Row],[Yrkesaktivandel]]&lt;=I$434,I$434,IF(Tabell2[[#This Row],[Yrkesaktivandel]]&gt;=I$435,I$435,Tabell2[[#This Row],[Yrkesaktivandel]]))</f>
        <v>0.89134382566585957</v>
      </c>
      <c r="S138" s="22">
        <f>IF(Tabell2[[#This Row],[Inntekt]]&lt;=J$434,J$434,IF(Tabell2[[#This Row],[Inntekt]]&gt;=J$435,J$435,Tabell2[[#This Row],[Inntekt]]))</f>
        <v>365900</v>
      </c>
      <c r="T138" s="22">
        <f>IF(Tabell2[[#This Row],[NIBR11-T]]&lt;=K$437,100,IF(Tabell2[[#This Row],[NIBR11-T]]&gt;=K$436,0,100*(K$436-Tabell2[[#This Row],[NIBR11-T]])/K$439))</f>
        <v>20</v>
      </c>
      <c r="U138" s="7">
        <f>IF(Tabell2[[#This Row],[ReisetidOslo-T]]&lt;=L$437,100,IF(Tabell2[[#This Row],[ReisetidOslo-T]]&gt;=L$436,0,100*(L$436-Tabell2[[#This Row],[ReisetidOslo-T]])/L$439))</f>
        <v>63.140036563075064</v>
      </c>
      <c r="V138" s="7">
        <f>100-(M$436-Tabell2[[#This Row],[Beftettotal-T]])*100/M$439</f>
        <v>1.2081282307620285</v>
      </c>
      <c r="W138" s="7">
        <f>100-(N$436-Tabell2[[#This Row],[Befvekst10-T]])*100/N$439</f>
        <v>1.2073718335874588</v>
      </c>
      <c r="X138" s="7">
        <f>100-(O$436-Tabell2[[#This Row],[Kvinneandel-T]])*100/O$439</f>
        <v>0</v>
      </c>
      <c r="Y138" s="7">
        <f>(P$436-Tabell2[[#This Row],[Eldreandel-T]])*100/P$439</f>
        <v>32.551611884791306</v>
      </c>
      <c r="Z138" s="7">
        <f>100-(Q$436-Tabell2[[#This Row],[Sysselsettingsvekst10-T]])*100/Q$439</f>
        <v>28.821789502409914</v>
      </c>
      <c r="AA138" s="7">
        <f>100-(R$436-Tabell2[[#This Row],[Yrkesaktivandel-T]])*100/R$439</f>
        <v>45.647793885951209</v>
      </c>
      <c r="AB138" s="7">
        <f>100-(S$436-Tabell2[[#This Row],[Inntekt-T]])*100/S$439</f>
        <v>39.772463431622938</v>
      </c>
      <c r="AC138" s="55">
        <f>Tabell2[[#This Row],[NIBR11-I]]*Vekter!$B$3</f>
        <v>4</v>
      </c>
      <c r="AD138" s="55">
        <f>Tabell2[[#This Row],[ReisetidOslo-I]]*Vekter!$C$3</f>
        <v>6.3140036563075066</v>
      </c>
      <c r="AE138" s="55">
        <f>Tabell2[[#This Row],[Beftettotal-I]]*Vekter!$D$3</f>
        <v>0.12081282307620285</v>
      </c>
      <c r="AF138" s="55">
        <f>Tabell2[[#This Row],[Befvekst10-I]]*Vekter!$E$3</f>
        <v>0.24147436671749178</v>
      </c>
      <c r="AG138" s="55">
        <f>Tabell2[[#This Row],[Kvinneandel-I]]*Vekter!$F$3</f>
        <v>0</v>
      </c>
      <c r="AH138" s="55">
        <f>Tabell2[[#This Row],[Eldreandel-I]]*Vekter!$G$3</f>
        <v>1.6275805942395654</v>
      </c>
      <c r="AI138" s="55">
        <f>Tabell2[[#This Row],[Sysselsettingsvekst10-I]]*Vekter!$H$3</f>
        <v>2.8821789502409914</v>
      </c>
      <c r="AJ138" s="55">
        <f>Tabell2[[#This Row],[Yrkesaktivandel-I]]*Vekter!$J$3</f>
        <v>4.5647793885951211</v>
      </c>
      <c r="AK138" s="55">
        <f>Tabell2[[#This Row],[Inntekt-I]]*Vekter!$L$3</f>
        <v>3.9772463431622942</v>
      </c>
      <c r="AL138" s="56">
        <f>SUM(Tabell2[[#This Row],[NIBR11-v]:[Inntekt-v]])</f>
        <v>23.728076122339175</v>
      </c>
    </row>
    <row r="139" spans="1:38" x14ac:dyDescent="0.25">
      <c r="A139" s="2" t="s">
        <v>136</v>
      </c>
      <c r="B139">
        <f>'Rådata-K'!M138</f>
        <v>5</v>
      </c>
      <c r="C139" s="7">
        <f>'Rådata-K'!L138</f>
        <v>108.483333333</v>
      </c>
      <c r="D139" s="34">
        <f>'Rådata-K'!N138</f>
        <v>2.0145848868217837</v>
      </c>
      <c r="E139" s="34">
        <f>'Rådata-K'!O138</f>
        <v>-2.3882424984690731E-2</v>
      </c>
      <c r="F139" s="34">
        <f>'Rådata-K'!P138</f>
        <v>9.974905897114178E-2</v>
      </c>
      <c r="G139" s="34">
        <f>'Rådata-K'!Q138</f>
        <v>0.20765370138017566</v>
      </c>
      <c r="H139" s="34">
        <f>'Rådata-K'!R138</f>
        <v>7.3260073260073222E-2</v>
      </c>
      <c r="I139" s="34">
        <f>'Rådata-K'!S138</f>
        <v>0.96728971962616828</v>
      </c>
      <c r="J139" s="22">
        <f>'Rådata-K'!K138</f>
        <v>360100</v>
      </c>
      <c r="K139" s="22">
        <f>Tabell2[[#This Row],[NIBR11]]</f>
        <v>5</v>
      </c>
      <c r="L139" s="32">
        <f>IF(Tabell2[[#This Row],[ReisetidOslo]]&lt;=C$434,C$434,IF(Tabell2[[#This Row],[ReisetidOslo]]&gt;=C$435,C$435,Tabell2[[#This Row],[ReisetidOslo]]))</f>
        <v>108.483333333</v>
      </c>
      <c r="M139" s="32">
        <f>IF(Tabell2[[#This Row],[Beftettotal]]&lt;=D$434,D$434,IF(Tabell2[[#This Row],[Beftettotal]]&gt;=D$435,D$435,Tabell2[[#This Row],[Beftettotal]]))</f>
        <v>2.0145848868217837</v>
      </c>
      <c r="N139" s="34">
        <f>IF(Tabell2[[#This Row],[Befvekst10]]&lt;=E$434,E$434,IF(Tabell2[[#This Row],[Befvekst10]]&gt;=E$435,E$435,Tabell2[[#This Row],[Befvekst10]]))</f>
        <v>-2.3882424984690731E-2</v>
      </c>
      <c r="O139" s="34">
        <f>IF(Tabell2[[#This Row],[Kvinneandel]]&lt;=F$434,F$434,IF(Tabell2[[#This Row],[Kvinneandel]]&gt;=F$435,F$435,Tabell2[[#This Row],[Kvinneandel]]))</f>
        <v>9.974905897114178E-2</v>
      </c>
      <c r="P139" s="34">
        <f>IF(Tabell2[[#This Row],[Eldreandel]]&lt;=G$434,G$434,IF(Tabell2[[#This Row],[Eldreandel]]&gt;=G$435,G$435,Tabell2[[#This Row],[Eldreandel]]))</f>
        <v>0.20765370138017566</v>
      </c>
      <c r="Q139" s="34">
        <f>IF(Tabell2[[#This Row],[Sysselsettingsvekst10]]&lt;=H$434,H$434,IF(Tabell2[[#This Row],[Sysselsettingsvekst10]]&gt;=H$435,H$435,Tabell2[[#This Row],[Sysselsettingsvekst10]]))</f>
        <v>7.3260073260073222E-2</v>
      </c>
      <c r="R139" s="34">
        <f>IF(Tabell2[[#This Row],[Yrkesaktivandel]]&lt;=I$434,I$434,IF(Tabell2[[#This Row],[Yrkesaktivandel]]&gt;=I$435,I$435,Tabell2[[#This Row],[Yrkesaktivandel]]))</f>
        <v>0.96203284815106216</v>
      </c>
      <c r="S139" s="22">
        <f>IF(Tabell2[[#This Row],[Inntekt]]&lt;=J$434,J$434,IF(Tabell2[[#This Row],[Inntekt]]&gt;=J$435,J$435,Tabell2[[#This Row],[Inntekt]]))</f>
        <v>360100</v>
      </c>
      <c r="T139" s="22">
        <f>IF(Tabell2[[#This Row],[NIBR11-T]]&lt;=K$437,100,IF(Tabell2[[#This Row],[NIBR11-T]]&gt;=K$436,0,100*(K$436-Tabell2[[#This Row],[NIBR11-T]])/K$439))</f>
        <v>60</v>
      </c>
      <c r="U139" s="7">
        <f>IF(Tabell2[[#This Row],[ReisetidOslo-T]]&lt;=L$437,100,IF(Tabell2[[#This Row],[ReisetidOslo-T]]&gt;=L$436,0,100*(L$436-Tabell2[[#This Row],[ReisetidOslo-T]])/L$439))</f>
        <v>75.454478976382759</v>
      </c>
      <c r="V139" s="7">
        <f>100-(M$436-Tabell2[[#This Row],[Beftettotal-T]])*100/M$439</f>
        <v>0.52975114278090984</v>
      </c>
      <c r="W139" s="7">
        <f>100-(N$436-Tabell2[[#This Row],[Befvekst10-T]])*100/N$439</f>
        <v>21.063420552911666</v>
      </c>
      <c r="X139" s="7">
        <f>100-(O$436-Tabell2[[#This Row],[Kvinneandel-T]])*100/O$439</f>
        <v>24.466370822006894</v>
      </c>
      <c r="Y139" s="7">
        <f>(P$436-Tabell2[[#This Row],[Eldreandel-T]])*100/P$439</f>
        <v>7.3757546551928339</v>
      </c>
      <c r="Z139" s="7">
        <f>100-(Q$436-Tabell2[[#This Row],[Sysselsettingsvekst10-T]])*100/Q$439</f>
        <v>42.54643100230092</v>
      </c>
      <c r="AA139" s="7">
        <f>100-(R$436-Tabell2[[#This Row],[Yrkesaktivandel-T]])*100/R$439</f>
        <v>100</v>
      </c>
      <c r="AB139" s="7">
        <f>100-(S$436-Tabell2[[#This Row],[Inntekt-T]])*100/S$439</f>
        <v>33.039238449036446</v>
      </c>
      <c r="AC139" s="55">
        <f>Tabell2[[#This Row],[NIBR11-I]]*Vekter!$B$3</f>
        <v>12</v>
      </c>
      <c r="AD139" s="55">
        <f>Tabell2[[#This Row],[ReisetidOslo-I]]*Vekter!$C$3</f>
        <v>7.5454478976382759</v>
      </c>
      <c r="AE139" s="55">
        <f>Tabell2[[#This Row],[Beftettotal-I]]*Vekter!$D$3</f>
        <v>5.2975114278090984E-2</v>
      </c>
      <c r="AF139" s="55">
        <f>Tabell2[[#This Row],[Befvekst10-I]]*Vekter!$E$3</f>
        <v>4.2126841105823329</v>
      </c>
      <c r="AG139" s="55">
        <f>Tabell2[[#This Row],[Kvinneandel-I]]*Vekter!$F$3</f>
        <v>1.2233185411003449</v>
      </c>
      <c r="AH139" s="55">
        <f>Tabell2[[#This Row],[Eldreandel-I]]*Vekter!$G$3</f>
        <v>0.36878773275964172</v>
      </c>
      <c r="AI139" s="55">
        <f>Tabell2[[#This Row],[Sysselsettingsvekst10-I]]*Vekter!$H$3</f>
        <v>4.2546431002300924</v>
      </c>
      <c r="AJ139" s="55">
        <f>Tabell2[[#This Row],[Yrkesaktivandel-I]]*Vekter!$J$3</f>
        <v>10</v>
      </c>
      <c r="AK139" s="55">
        <f>Tabell2[[#This Row],[Inntekt-I]]*Vekter!$L$3</f>
        <v>3.303923844903645</v>
      </c>
      <c r="AL139" s="56">
        <f>SUM(Tabell2[[#This Row],[NIBR11-v]:[Inntekt-v]])</f>
        <v>42.961780341492421</v>
      </c>
    </row>
    <row r="140" spans="1:38" x14ac:dyDescent="0.25">
      <c r="A140" s="2" t="s">
        <v>137</v>
      </c>
      <c r="B140">
        <f>'Rådata-K'!M139</f>
        <v>10</v>
      </c>
      <c r="C140" s="7">
        <f>'Rådata-K'!L139</f>
        <v>135.55000000000001</v>
      </c>
      <c r="D140" s="34">
        <f>'Rådata-K'!N139</f>
        <v>4.1980729698359642</v>
      </c>
      <c r="E140" s="34">
        <f>'Rådata-K'!O139</f>
        <v>2.8434395340870111E-2</v>
      </c>
      <c r="F140" s="34">
        <f>'Rådata-K'!P139</f>
        <v>0.10093271152564957</v>
      </c>
      <c r="G140" s="34">
        <f>'Rådata-K'!Q139</f>
        <v>0.18321119253830778</v>
      </c>
      <c r="H140" s="34">
        <f>'Rådata-K'!R139</f>
        <v>0.12994350282485878</v>
      </c>
      <c r="I140" s="34">
        <f>'Rådata-K'!S139</f>
        <v>0.90459153249850921</v>
      </c>
      <c r="J140" s="22">
        <f>'Rådata-K'!K139</f>
        <v>361300</v>
      </c>
      <c r="K140" s="22">
        <f>Tabell2[[#This Row],[NIBR11]]</f>
        <v>10</v>
      </c>
      <c r="L140" s="32">
        <f>IF(Tabell2[[#This Row],[ReisetidOslo]]&lt;=C$434,C$434,IF(Tabell2[[#This Row],[ReisetidOslo]]&gt;=C$435,C$435,Tabell2[[#This Row],[ReisetidOslo]]))</f>
        <v>135.55000000000001</v>
      </c>
      <c r="M140" s="32">
        <f>IF(Tabell2[[#This Row],[Beftettotal]]&lt;=D$434,D$434,IF(Tabell2[[#This Row],[Beftettotal]]&gt;=D$435,D$435,Tabell2[[#This Row],[Beftettotal]]))</f>
        <v>4.1980729698359642</v>
      </c>
      <c r="N140" s="34">
        <f>IF(Tabell2[[#This Row],[Befvekst10]]&lt;=E$434,E$434,IF(Tabell2[[#This Row],[Befvekst10]]&gt;=E$435,E$435,Tabell2[[#This Row],[Befvekst10]]))</f>
        <v>2.8434395340870111E-2</v>
      </c>
      <c r="O140" s="34">
        <f>IF(Tabell2[[#This Row],[Kvinneandel]]&lt;=F$434,F$434,IF(Tabell2[[#This Row],[Kvinneandel]]&gt;=F$435,F$435,Tabell2[[#This Row],[Kvinneandel]]))</f>
        <v>0.10093271152564957</v>
      </c>
      <c r="P140" s="34">
        <f>IF(Tabell2[[#This Row],[Eldreandel]]&lt;=G$434,G$434,IF(Tabell2[[#This Row],[Eldreandel]]&gt;=G$435,G$435,Tabell2[[#This Row],[Eldreandel]]))</f>
        <v>0.18321119253830778</v>
      </c>
      <c r="Q140" s="34">
        <f>IF(Tabell2[[#This Row],[Sysselsettingsvekst10]]&lt;=H$434,H$434,IF(Tabell2[[#This Row],[Sysselsettingsvekst10]]&gt;=H$435,H$435,Tabell2[[#This Row],[Sysselsettingsvekst10]]))</f>
        <v>0.12994350282485878</v>
      </c>
      <c r="R140" s="34">
        <f>IF(Tabell2[[#This Row],[Yrkesaktivandel]]&lt;=I$434,I$434,IF(Tabell2[[#This Row],[Yrkesaktivandel]]&gt;=I$435,I$435,Tabell2[[#This Row],[Yrkesaktivandel]]))</f>
        <v>0.90459153249850921</v>
      </c>
      <c r="S140" s="22">
        <f>IF(Tabell2[[#This Row],[Inntekt]]&lt;=J$434,J$434,IF(Tabell2[[#This Row],[Inntekt]]&gt;=J$435,J$435,Tabell2[[#This Row],[Inntekt]]))</f>
        <v>361300</v>
      </c>
      <c r="T140" s="22">
        <f>IF(Tabell2[[#This Row],[NIBR11-T]]&lt;=K$437,100,IF(Tabell2[[#This Row],[NIBR11-T]]&gt;=K$436,0,100*(K$436-Tabell2[[#This Row],[NIBR11-T]])/K$439))</f>
        <v>10</v>
      </c>
      <c r="U140" s="7">
        <f>IF(Tabell2[[#This Row],[ReisetidOslo-T]]&lt;=L$437,100,IF(Tabell2[[#This Row],[ReisetidOslo-T]]&gt;=L$436,0,100*(L$436-Tabell2[[#This Row],[ReisetidOslo-T]])/L$439))</f>
        <v>63.578793418650889</v>
      </c>
      <c r="V140" s="7">
        <f>100-(M$436-Tabell2[[#This Row],[Beftettotal-T]])*100/M$439</f>
        <v>2.2188337215096396</v>
      </c>
      <c r="W140" s="7">
        <f>100-(N$436-Tabell2[[#This Row],[Befvekst10-T]])*100/N$439</f>
        <v>42.128084816031162</v>
      </c>
      <c r="X140" s="7">
        <f>100-(O$436-Tabell2[[#This Row],[Kvinneandel-T]])*100/O$439</f>
        <v>27.594150763389266</v>
      </c>
      <c r="Y140" s="7">
        <f>(P$436-Tabell2[[#This Row],[Eldreandel-T]])*100/P$439</f>
        <v>34.158681097439683</v>
      </c>
      <c r="Z140" s="7">
        <f>100-(Q$436-Tabell2[[#This Row],[Sysselsettingsvekst10-T]])*100/Q$439</f>
        <v>59.412069915007791</v>
      </c>
      <c r="AA140" s="7">
        <f>100-(R$436-Tabell2[[#This Row],[Yrkesaktivandel-T]])*100/R$439</f>
        <v>55.833846359054697</v>
      </c>
      <c r="AB140" s="7">
        <f>100-(S$436-Tabell2[[#This Row],[Inntekt-T]])*100/S$439</f>
        <v>34.432319479916416</v>
      </c>
      <c r="AC140" s="55">
        <f>Tabell2[[#This Row],[NIBR11-I]]*Vekter!$B$3</f>
        <v>2</v>
      </c>
      <c r="AD140" s="55">
        <f>Tabell2[[#This Row],[ReisetidOslo-I]]*Vekter!$C$3</f>
        <v>6.3578793418650896</v>
      </c>
      <c r="AE140" s="55">
        <f>Tabell2[[#This Row],[Beftettotal-I]]*Vekter!$D$3</f>
        <v>0.22188337215096399</v>
      </c>
      <c r="AF140" s="55">
        <f>Tabell2[[#This Row],[Befvekst10-I]]*Vekter!$E$3</f>
        <v>8.4256169632062328</v>
      </c>
      <c r="AG140" s="55">
        <f>Tabell2[[#This Row],[Kvinneandel-I]]*Vekter!$F$3</f>
        <v>1.3797075381694635</v>
      </c>
      <c r="AH140" s="55">
        <f>Tabell2[[#This Row],[Eldreandel-I]]*Vekter!$G$3</f>
        <v>1.7079340548719841</v>
      </c>
      <c r="AI140" s="55">
        <f>Tabell2[[#This Row],[Sysselsettingsvekst10-I]]*Vekter!$H$3</f>
        <v>5.9412069915007795</v>
      </c>
      <c r="AJ140" s="55">
        <f>Tabell2[[#This Row],[Yrkesaktivandel-I]]*Vekter!$J$3</f>
        <v>5.5833846359054702</v>
      </c>
      <c r="AK140" s="55">
        <f>Tabell2[[#This Row],[Inntekt-I]]*Vekter!$L$3</f>
        <v>3.4432319479916416</v>
      </c>
      <c r="AL140" s="56">
        <f>SUM(Tabell2[[#This Row],[NIBR11-v]:[Inntekt-v]])</f>
        <v>35.06084484566162</v>
      </c>
    </row>
    <row r="141" spans="1:38" x14ac:dyDescent="0.25">
      <c r="A141" s="2" t="s">
        <v>138</v>
      </c>
      <c r="B141">
        <f>'Rådata-K'!M140</f>
        <v>10</v>
      </c>
      <c r="C141" s="7">
        <f>'Rådata-K'!L140</f>
        <v>148.633333333</v>
      </c>
      <c r="D141" s="34">
        <f>'Rådata-K'!N140</f>
        <v>3.4807893176749567</v>
      </c>
      <c r="E141" s="34">
        <f>'Rådata-K'!O140</f>
        <v>-5.0808314087759765E-2</v>
      </c>
      <c r="F141" s="34">
        <f>'Rådata-K'!P140</f>
        <v>8.8402270884022707E-2</v>
      </c>
      <c r="G141" s="34">
        <f>'Rådata-K'!Q140</f>
        <v>0.19140308191403083</v>
      </c>
      <c r="H141" s="34">
        <f>'Rådata-K'!R140</f>
        <v>0.10239852398523985</v>
      </c>
      <c r="I141" s="34">
        <f>'Rådata-K'!S140</f>
        <v>0.92972593113141255</v>
      </c>
      <c r="J141" s="22">
        <f>'Rådata-K'!K140</f>
        <v>355000</v>
      </c>
      <c r="K141" s="22">
        <f>Tabell2[[#This Row],[NIBR11]]</f>
        <v>10</v>
      </c>
      <c r="L141" s="32">
        <f>IF(Tabell2[[#This Row],[ReisetidOslo]]&lt;=C$434,C$434,IF(Tabell2[[#This Row],[ReisetidOslo]]&gt;=C$435,C$435,Tabell2[[#This Row],[ReisetidOslo]]))</f>
        <v>148.633333333</v>
      </c>
      <c r="M141" s="32">
        <f>IF(Tabell2[[#This Row],[Beftettotal]]&lt;=D$434,D$434,IF(Tabell2[[#This Row],[Beftettotal]]&gt;=D$435,D$435,Tabell2[[#This Row],[Beftettotal]]))</f>
        <v>3.4807893176749567</v>
      </c>
      <c r="N141" s="34">
        <f>IF(Tabell2[[#This Row],[Befvekst10]]&lt;=E$434,E$434,IF(Tabell2[[#This Row],[Befvekst10]]&gt;=E$435,E$435,Tabell2[[#This Row],[Befvekst10]]))</f>
        <v>-5.0808314087759765E-2</v>
      </c>
      <c r="O141" s="34">
        <f>IF(Tabell2[[#This Row],[Kvinneandel]]&lt;=F$434,F$434,IF(Tabell2[[#This Row],[Kvinneandel]]&gt;=F$435,F$435,Tabell2[[#This Row],[Kvinneandel]]))</f>
        <v>9.0490197137593403E-2</v>
      </c>
      <c r="P141" s="34">
        <f>IF(Tabell2[[#This Row],[Eldreandel]]&lt;=G$434,G$434,IF(Tabell2[[#This Row],[Eldreandel]]&gt;=G$435,G$435,Tabell2[[#This Row],[Eldreandel]]))</f>
        <v>0.19140308191403083</v>
      </c>
      <c r="Q141" s="34">
        <f>IF(Tabell2[[#This Row],[Sysselsettingsvekst10]]&lt;=H$434,H$434,IF(Tabell2[[#This Row],[Sysselsettingsvekst10]]&gt;=H$435,H$435,Tabell2[[#This Row],[Sysselsettingsvekst10]]))</f>
        <v>0.10239852398523985</v>
      </c>
      <c r="R141" s="34">
        <f>IF(Tabell2[[#This Row],[Yrkesaktivandel]]&lt;=I$434,I$434,IF(Tabell2[[#This Row],[Yrkesaktivandel]]&gt;=I$435,I$435,Tabell2[[#This Row],[Yrkesaktivandel]]))</f>
        <v>0.92972593113141255</v>
      </c>
      <c r="S141" s="22">
        <f>IF(Tabell2[[#This Row],[Inntekt]]&lt;=J$434,J$434,IF(Tabell2[[#This Row],[Inntekt]]&gt;=J$435,J$435,Tabell2[[#This Row],[Inntekt]]))</f>
        <v>355000</v>
      </c>
      <c r="T141" s="22">
        <f>IF(Tabell2[[#This Row],[NIBR11-T]]&lt;=K$437,100,IF(Tabell2[[#This Row],[NIBR11-T]]&gt;=K$436,0,100*(K$436-Tabell2[[#This Row],[NIBR11-T]])/K$439))</f>
        <v>10</v>
      </c>
      <c r="U141" s="7">
        <f>IF(Tabell2[[#This Row],[ReisetidOslo-T]]&lt;=L$437,100,IF(Tabell2[[#This Row],[ReisetidOslo-T]]&gt;=L$436,0,100*(L$436-Tabell2[[#This Row],[ReisetidOslo-T]])/L$439))</f>
        <v>57.83839122501346</v>
      </c>
      <c r="V141" s="7">
        <f>100-(M$436-Tabell2[[#This Row],[Beftettotal-T]])*100/M$439</f>
        <v>1.6639640474789132</v>
      </c>
      <c r="W141" s="7">
        <f>100-(N$436-Tabell2[[#This Row],[Befvekst10-T]])*100/N$439</f>
        <v>10.222073345405192</v>
      </c>
      <c r="X141" s="7">
        <f>100-(O$436-Tabell2[[#This Row],[Kvinneandel-T]])*100/O$439</f>
        <v>0</v>
      </c>
      <c r="Y141" s="7">
        <f>(P$436-Tabell2[[#This Row],[Eldreandel-T]])*100/P$439</f>
        <v>25.182402435030205</v>
      </c>
      <c r="Z141" s="7">
        <f>100-(Q$436-Tabell2[[#This Row],[Sysselsettingsvekst10-T]])*100/Q$439</f>
        <v>51.216311991853232</v>
      </c>
      <c r="AA141" s="7">
        <f>100-(R$436-Tabell2[[#This Row],[Yrkesaktivandel-T]])*100/R$439</f>
        <v>75.159478076966735</v>
      </c>
      <c r="AB141" s="7">
        <f>100-(S$436-Tabell2[[#This Row],[Inntekt-T]])*100/S$439</f>
        <v>27.118644067796609</v>
      </c>
      <c r="AC141" s="55">
        <f>Tabell2[[#This Row],[NIBR11-I]]*Vekter!$B$3</f>
        <v>2</v>
      </c>
      <c r="AD141" s="55">
        <f>Tabell2[[#This Row],[ReisetidOslo-I]]*Vekter!$C$3</f>
        <v>5.7838391225013464</v>
      </c>
      <c r="AE141" s="55">
        <f>Tabell2[[#This Row],[Beftettotal-I]]*Vekter!$D$3</f>
        <v>0.16639640474789133</v>
      </c>
      <c r="AF141" s="55">
        <f>Tabell2[[#This Row],[Befvekst10-I]]*Vekter!$E$3</f>
        <v>2.0444146690810387</v>
      </c>
      <c r="AG141" s="55">
        <f>Tabell2[[#This Row],[Kvinneandel-I]]*Vekter!$F$3</f>
        <v>0</v>
      </c>
      <c r="AH141" s="55">
        <f>Tabell2[[#This Row],[Eldreandel-I]]*Vekter!$G$3</f>
        <v>1.2591201217515104</v>
      </c>
      <c r="AI141" s="55">
        <f>Tabell2[[#This Row],[Sysselsettingsvekst10-I]]*Vekter!$H$3</f>
        <v>5.1216311991853232</v>
      </c>
      <c r="AJ141" s="55">
        <f>Tabell2[[#This Row],[Yrkesaktivandel-I]]*Vekter!$J$3</f>
        <v>7.5159478076966737</v>
      </c>
      <c r="AK141" s="55">
        <f>Tabell2[[#This Row],[Inntekt-I]]*Vekter!$L$3</f>
        <v>2.7118644067796609</v>
      </c>
      <c r="AL141" s="56">
        <f>SUM(Tabell2[[#This Row],[NIBR11-v]:[Inntekt-v]])</f>
        <v>26.603213731743445</v>
      </c>
    </row>
    <row r="142" spans="1:38" x14ac:dyDescent="0.25">
      <c r="A142" s="2" t="s">
        <v>139</v>
      </c>
      <c r="B142">
        <f>'Rådata-K'!M141</f>
        <v>11</v>
      </c>
      <c r="C142" s="7">
        <f>'Rådata-K'!L141</f>
        <v>172.9</v>
      </c>
      <c r="D142" s="34">
        <f>'Rådata-K'!N141</f>
        <v>1.5897390574250425</v>
      </c>
      <c r="E142" s="34">
        <f>'Rådata-K'!O141</f>
        <v>2.2017045454545414E-2</v>
      </c>
      <c r="F142" s="34">
        <f>'Rådata-K'!P141</f>
        <v>0.10423905489923559</v>
      </c>
      <c r="G142" s="34">
        <f>'Rådata-K'!Q141</f>
        <v>0.16678248783877692</v>
      </c>
      <c r="H142" s="34">
        <f>'Rådata-K'!R141</f>
        <v>0.22744360902255645</v>
      </c>
      <c r="I142" s="34">
        <f>'Rådata-K'!S141</f>
        <v>0.91966426858513195</v>
      </c>
      <c r="J142" s="22">
        <f>'Rådata-K'!K141</f>
        <v>362500</v>
      </c>
      <c r="K142" s="22">
        <f>Tabell2[[#This Row],[NIBR11]]</f>
        <v>11</v>
      </c>
      <c r="L142" s="32">
        <f>IF(Tabell2[[#This Row],[ReisetidOslo]]&lt;=C$434,C$434,IF(Tabell2[[#This Row],[ReisetidOslo]]&gt;=C$435,C$435,Tabell2[[#This Row],[ReisetidOslo]]))</f>
        <v>172.9</v>
      </c>
      <c r="M142" s="32">
        <f>IF(Tabell2[[#This Row],[Beftettotal]]&lt;=D$434,D$434,IF(Tabell2[[#This Row],[Beftettotal]]&gt;=D$435,D$435,Tabell2[[#This Row],[Beftettotal]]))</f>
        <v>1.5897390574250425</v>
      </c>
      <c r="N142" s="34">
        <f>IF(Tabell2[[#This Row],[Befvekst10]]&lt;=E$434,E$434,IF(Tabell2[[#This Row],[Befvekst10]]&gt;=E$435,E$435,Tabell2[[#This Row],[Befvekst10]]))</f>
        <v>2.2017045454545414E-2</v>
      </c>
      <c r="O142" s="34">
        <f>IF(Tabell2[[#This Row],[Kvinneandel]]&lt;=F$434,F$434,IF(Tabell2[[#This Row],[Kvinneandel]]&gt;=F$435,F$435,Tabell2[[#This Row],[Kvinneandel]]))</f>
        <v>0.10423905489923559</v>
      </c>
      <c r="P142" s="34">
        <f>IF(Tabell2[[#This Row],[Eldreandel]]&lt;=G$434,G$434,IF(Tabell2[[#This Row],[Eldreandel]]&gt;=G$435,G$435,Tabell2[[#This Row],[Eldreandel]]))</f>
        <v>0.16678248783877692</v>
      </c>
      <c r="Q142" s="34">
        <f>IF(Tabell2[[#This Row],[Sysselsettingsvekst10]]&lt;=H$434,H$434,IF(Tabell2[[#This Row],[Sysselsettingsvekst10]]&gt;=H$435,H$435,Tabell2[[#This Row],[Sysselsettingsvekst10]]))</f>
        <v>0.22744360902255645</v>
      </c>
      <c r="R142" s="34">
        <f>IF(Tabell2[[#This Row],[Yrkesaktivandel]]&lt;=I$434,I$434,IF(Tabell2[[#This Row],[Yrkesaktivandel]]&gt;=I$435,I$435,Tabell2[[#This Row],[Yrkesaktivandel]]))</f>
        <v>0.91966426858513195</v>
      </c>
      <c r="S142" s="22">
        <f>IF(Tabell2[[#This Row],[Inntekt]]&lt;=J$434,J$434,IF(Tabell2[[#This Row],[Inntekt]]&gt;=J$435,J$435,Tabell2[[#This Row],[Inntekt]]))</f>
        <v>362500</v>
      </c>
      <c r="T142" s="22">
        <f>IF(Tabell2[[#This Row],[NIBR11-T]]&lt;=K$437,100,IF(Tabell2[[#This Row],[NIBR11-T]]&gt;=K$436,0,100*(K$436-Tabell2[[#This Row],[NIBR11-T]])/K$439))</f>
        <v>0</v>
      </c>
      <c r="U142" s="7">
        <f>IF(Tabell2[[#This Row],[ReisetidOslo-T]]&lt;=L$437,100,IF(Tabell2[[#This Row],[ReisetidOslo-T]]&gt;=L$436,0,100*(L$436-Tabell2[[#This Row],[ReisetidOslo-T]])/L$439))</f>
        <v>47.191224862893883</v>
      </c>
      <c r="V142" s="7">
        <f>100-(M$436-Tabell2[[#This Row],[Beftettotal-T]])*100/M$439</f>
        <v>0.20110282330439588</v>
      </c>
      <c r="W142" s="7">
        <f>100-(N$436-Tabell2[[#This Row],[Befvekst10-T]])*100/N$439</f>
        <v>39.544225170639976</v>
      </c>
      <c r="X142" s="7">
        <f>100-(O$436-Tabell2[[#This Row],[Kvinneandel-T]])*100/O$439</f>
        <v>36.331101859249678</v>
      </c>
      <c r="Y142" s="7">
        <f>(P$436-Tabell2[[#This Row],[Eldreandel-T]])*100/P$439</f>
        <v>52.160466116955917</v>
      </c>
      <c r="Z142" s="7">
        <f>100-(Q$436-Tabell2[[#This Row],[Sysselsettingsvekst10-T]])*100/Q$439</f>
        <v>88.422339718839893</v>
      </c>
      <c r="AA142" s="7">
        <f>100-(R$436-Tabell2[[#This Row],[Yrkesaktivandel-T]])*100/R$439</f>
        <v>67.423148766713155</v>
      </c>
      <c r="AB142" s="7">
        <f>100-(S$436-Tabell2[[#This Row],[Inntekt-T]])*100/S$439</f>
        <v>35.825400510796385</v>
      </c>
      <c r="AC142" s="55">
        <f>Tabell2[[#This Row],[NIBR11-I]]*Vekter!$B$3</f>
        <v>0</v>
      </c>
      <c r="AD142" s="55">
        <f>Tabell2[[#This Row],[ReisetidOslo-I]]*Vekter!$C$3</f>
        <v>4.7191224862893888</v>
      </c>
      <c r="AE142" s="55">
        <f>Tabell2[[#This Row],[Beftettotal-I]]*Vekter!$D$3</f>
        <v>2.0110282330439589E-2</v>
      </c>
      <c r="AF142" s="55">
        <f>Tabell2[[#This Row],[Befvekst10-I]]*Vekter!$E$3</f>
        <v>7.9088450341279959</v>
      </c>
      <c r="AG142" s="55">
        <f>Tabell2[[#This Row],[Kvinneandel-I]]*Vekter!$F$3</f>
        <v>1.8165550929624841</v>
      </c>
      <c r="AH142" s="55">
        <f>Tabell2[[#This Row],[Eldreandel-I]]*Vekter!$G$3</f>
        <v>2.6080233058477962</v>
      </c>
      <c r="AI142" s="55">
        <f>Tabell2[[#This Row],[Sysselsettingsvekst10-I]]*Vekter!$H$3</f>
        <v>8.8422339718839904</v>
      </c>
      <c r="AJ142" s="55">
        <f>Tabell2[[#This Row],[Yrkesaktivandel-I]]*Vekter!$J$3</f>
        <v>6.7423148766713155</v>
      </c>
      <c r="AK142" s="55">
        <f>Tabell2[[#This Row],[Inntekt-I]]*Vekter!$L$3</f>
        <v>3.5825400510796386</v>
      </c>
      <c r="AL142" s="56">
        <f>SUM(Tabell2[[#This Row],[NIBR11-v]:[Inntekt-v]])</f>
        <v>36.239745101193051</v>
      </c>
    </row>
    <row r="143" spans="1:38" x14ac:dyDescent="0.25">
      <c r="A143" s="2" t="s">
        <v>140</v>
      </c>
      <c r="B143">
        <f>'Rådata-K'!M142</f>
        <v>11</v>
      </c>
      <c r="C143" s="7">
        <f>'Rådata-K'!L142</f>
        <v>194</v>
      </c>
      <c r="D143" s="34">
        <f>'Rådata-K'!N142</f>
        <v>1.0139515990438548</v>
      </c>
      <c r="E143" s="34">
        <f>'Rådata-K'!O142</f>
        <v>-4.065040650406504E-2</v>
      </c>
      <c r="F143" s="34">
        <f>'Rådata-K'!P142</f>
        <v>0.10400616332819723</v>
      </c>
      <c r="G143" s="34">
        <f>'Rådata-K'!Q142</f>
        <v>0.17411402157164868</v>
      </c>
      <c r="H143" s="34">
        <f>'Rådata-K'!R142</f>
        <v>-7.4211502782931538E-3</v>
      </c>
      <c r="I143" s="34">
        <f>'Rådata-K'!S142</f>
        <v>0.87961696306429549</v>
      </c>
      <c r="J143" s="22">
        <f>'Rådata-K'!K142</f>
        <v>344200</v>
      </c>
      <c r="K143" s="22">
        <f>Tabell2[[#This Row],[NIBR11]]</f>
        <v>11</v>
      </c>
      <c r="L143" s="32">
        <f>IF(Tabell2[[#This Row],[ReisetidOslo]]&lt;=C$434,C$434,IF(Tabell2[[#This Row],[ReisetidOslo]]&gt;=C$435,C$435,Tabell2[[#This Row],[ReisetidOslo]]))</f>
        <v>194</v>
      </c>
      <c r="M143" s="32">
        <f>IF(Tabell2[[#This Row],[Beftettotal]]&lt;=D$434,D$434,IF(Tabell2[[#This Row],[Beftettotal]]&gt;=D$435,D$435,Tabell2[[#This Row],[Beftettotal]]))</f>
        <v>1.3297721240876861</v>
      </c>
      <c r="N143" s="34">
        <f>IF(Tabell2[[#This Row],[Befvekst10]]&lt;=E$434,E$434,IF(Tabell2[[#This Row],[Befvekst10]]&gt;=E$435,E$435,Tabell2[[#This Row],[Befvekst10]]))</f>
        <v>-4.065040650406504E-2</v>
      </c>
      <c r="O143" s="34">
        <f>IF(Tabell2[[#This Row],[Kvinneandel]]&lt;=F$434,F$434,IF(Tabell2[[#This Row],[Kvinneandel]]&gt;=F$435,F$435,Tabell2[[#This Row],[Kvinneandel]]))</f>
        <v>0.10400616332819723</v>
      </c>
      <c r="P143" s="34">
        <f>IF(Tabell2[[#This Row],[Eldreandel]]&lt;=G$434,G$434,IF(Tabell2[[#This Row],[Eldreandel]]&gt;=G$435,G$435,Tabell2[[#This Row],[Eldreandel]]))</f>
        <v>0.17411402157164868</v>
      </c>
      <c r="Q143" s="34">
        <f>IF(Tabell2[[#This Row],[Sysselsettingsvekst10]]&lt;=H$434,H$434,IF(Tabell2[[#This Row],[Sysselsettingsvekst10]]&gt;=H$435,H$435,Tabell2[[#This Row],[Sysselsettingsvekst10]]))</f>
        <v>-7.4211502782931538E-3</v>
      </c>
      <c r="R143" s="34">
        <f>IF(Tabell2[[#This Row],[Yrkesaktivandel]]&lt;=I$434,I$434,IF(Tabell2[[#This Row],[Yrkesaktivandel]]&gt;=I$435,I$435,Tabell2[[#This Row],[Yrkesaktivandel]]))</f>
        <v>0.87961696306429549</v>
      </c>
      <c r="S143" s="22">
        <f>IF(Tabell2[[#This Row],[Inntekt]]&lt;=J$434,J$434,IF(Tabell2[[#This Row],[Inntekt]]&gt;=J$435,J$435,Tabell2[[#This Row],[Inntekt]]))</f>
        <v>344200</v>
      </c>
      <c r="T143" s="22">
        <f>IF(Tabell2[[#This Row],[NIBR11-T]]&lt;=K$437,100,IF(Tabell2[[#This Row],[NIBR11-T]]&gt;=K$436,0,100*(K$436-Tabell2[[#This Row],[NIBR11-T]])/K$439))</f>
        <v>0</v>
      </c>
      <c r="U143" s="7">
        <f>IF(Tabell2[[#This Row],[ReisetidOslo-T]]&lt;=L$437,100,IF(Tabell2[[#This Row],[ReisetidOslo-T]]&gt;=L$436,0,100*(L$436-Tabell2[[#This Row],[ReisetidOslo-T]])/L$439))</f>
        <v>37.93345521024402</v>
      </c>
      <c r="V143" s="7">
        <f>100-(M$436-Tabell2[[#This Row],[Beftettotal-T]])*100/M$439</f>
        <v>0</v>
      </c>
      <c r="W143" s="7">
        <f>100-(N$436-Tabell2[[#This Row],[Befvekst10-T]])*100/N$439</f>
        <v>14.312018252889999</v>
      </c>
      <c r="X143" s="7">
        <f>100-(O$436-Tabell2[[#This Row],[Kvinneandel-T]])*100/O$439</f>
        <v>35.715690198423502</v>
      </c>
      <c r="Y143" s="7">
        <f>(P$436-Tabell2[[#This Row],[Eldreandel-T]])*100/P$439</f>
        <v>44.126923817893378</v>
      </c>
      <c r="Z143" s="7">
        <f>100-(Q$436-Tabell2[[#This Row],[Sysselsettingsvekst10-T]])*100/Q$439</f>
        <v>18.540466760524865</v>
      </c>
      <c r="AA143" s="7">
        <f>100-(R$436-Tabell2[[#This Row],[Yrkesaktivandel-T]])*100/R$439</f>
        <v>36.631105993219848</v>
      </c>
      <c r="AB143" s="7">
        <f>100-(S$436-Tabell2[[#This Row],[Inntekt-T]])*100/S$439</f>
        <v>14.580914789876942</v>
      </c>
      <c r="AC143" s="55">
        <f>Tabell2[[#This Row],[NIBR11-I]]*Vekter!$B$3</f>
        <v>0</v>
      </c>
      <c r="AD143" s="55">
        <f>Tabell2[[#This Row],[ReisetidOslo-I]]*Vekter!$C$3</f>
        <v>3.7933455210244023</v>
      </c>
      <c r="AE143" s="55">
        <f>Tabell2[[#This Row],[Beftettotal-I]]*Vekter!$D$3</f>
        <v>0</v>
      </c>
      <c r="AF143" s="55">
        <f>Tabell2[[#This Row],[Befvekst10-I]]*Vekter!$E$3</f>
        <v>2.8624036505779999</v>
      </c>
      <c r="AG143" s="55">
        <f>Tabell2[[#This Row],[Kvinneandel-I]]*Vekter!$F$3</f>
        <v>1.7857845099211751</v>
      </c>
      <c r="AH143" s="55">
        <f>Tabell2[[#This Row],[Eldreandel-I]]*Vekter!$G$3</f>
        <v>2.2063461908946689</v>
      </c>
      <c r="AI143" s="55">
        <f>Tabell2[[#This Row],[Sysselsettingsvekst10-I]]*Vekter!$H$3</f>
        <v>1.8540466760524865</v>
      </c>
      <c r="AJ143" s="55">
        <f>Tabell2[[#This Row],[Yrkesaktivandel-I]]*Vekter!$J$3</f>
        <v>3.663110599321985</v>
      </c>
      <c r="AK143" s="55">
        <f>Tabell2[[#This Row],[Inntekt-I]]*Vekter!$L$3</f>
        <v>1.4580914789876944</v>
      </c>
      <c r="AL143" s="56">
        <f>SUM(Tabell2[[#This Row],[NIBR11-v]:[Inntekt-v]])</f>
        <v>17.62312862678041</v>
      </c>
    </row>
    <row r="144" spans="1:38" x14ac:dyDescent="0.25">
      <c r="A144" s="2" t="s">
        <v>141</v>
      </c>
      <c r="B144">
        <f>'Rådata-K'!M143</f>
        <v>10</v>
      </c>
      <c r="C144" s="7">
        <f>'Rådata-K'!L143</f>
        <v>175.6</v>
      </c>
      <c r="D144" s="34">
        <f>'Rådata-K'!N143</f>
        <v>2.2875020315293351</v>
      </c>
      <c r="E144" s="34">
        <f>'Rådata-K'!O143</f>
        <v>-8.5667884693463203E-2</v>
      </c>
      <c r="F144" s="34">
        <f>'Rådata-K'!P143</f>
        <v>8.4813499111900531E-2</v>
      </c>
      <c r="G144" s="34">
        <f>'Rådata-K'!Q143</f>
        <v>0.18694493783303731</v>
      </c>
      <c r="H144" s="34">
        <f>'Rådata-K'!R143</f>
        <v>-2.2900763358778664E-2</v>
      </c>
      <c r="I144" s="34">
        <f>'Rådata-K'!S143</f>
        <v>0.93423137876386686</v>
      </c>
      <c r="J144" s="22">
        <f>'Rådata-K'!K143</f>
        <v>378200</v>
      </c>
      <c r="K144" s="22">
        <f>Tabell2[[#This Row],[NIBR11]]</f>
        <v>10</v>
      </c>
      <c r="L144" s="32">
        <f>IF(Tabell2[[#This Row],[ReisetidOslo]]&lt;=C$434,C$434,IF(Tabell2[[#This Row],[ReisetidOslo]]&gt;=C$435,C$435,Tabell2[[#This Row],[ReisetidOslo]]))</f>
        <v>175.6</v>
      </c>
      <c r="M144" s="32">
        <f>IF(Tabell2[[#This Row],[Beftettotal]]&lt;=D$434,D$434,IF(Tabell2[[#This Row],[Beftettotal]]&gt;=D$435,D$435,Tabell2[[#This Row],[Beftettotal]]))</f>
        <v>2.2875020315293351</v>
      </c>
      <c r="N144" s="34">
        <f>IF(Tabell2[[#This Row],[Befvekst10]]&lt;=E$434,E$434,IF(Tabell2[[#This Row],[Befvekst10]]&gt;=E$435,E$435,Tabell2[[#This Row],[Befvekst10]]))</f>
        <v>-7.6196156394963507E-2</v>
      </c>
      <c r="O144" s="34">
        <f>IF(Tabell2[[#This Row],[Kvinneandel]]&lt;=F$434,F$434,IF(Tabell2[[#This Row],[Kvinneandel]]&gt;=F$435,F$435,Tabell2[[#This Row],[Kvinneandel]]))</f>
        <v>9.0490197137593403E-2</v>
      </c>
      <c r="P144" s="34">
        <f>IF(Tabell2[[#This Row],[Eldreandel]]&lt;=G$434,G$434,IF(Tabell2[[#This Row],[Eldreandel]]&gt;=G$435,G$435,Tabell2[[#This Row],[Eldreandel]]))</f>
        <v>0.18694493783303731</v>
      </c>
      <c r="Q144" s="34">
        <f>IF(Tabell2[[#This Row],[Sysselsettingsvekst10]]&lt;=H$434,H$434,IF(Tabell2[[#This Row],[Sysselsettingsvekst10]]&gt;=H$435,H$435,Tabell2[[#This Row],[Sysselsettingsvekst10]]))</f>
        <v>-2.2900763358778664E-2</v>
      </c>
      <c r="R144" s="34">
        <f>IF(Tabell2[[#This Row],[Yrkesaktivandel]]&lt;=I$434,I$434,IF(Tabell2[[#This Row],[Yrkesaktivandel]]&gt;=I$435,I$435,Tabell2[[#This Row],[Yrkesaktivandel]]))</f>
        <v>0.93423137876386686</v>
      </c>
      <c r="S144" s="22">
        <f>IF(Tabell2[[#This Row],[Inntekt]]&lt;=J$434,J$434,IF(Tabell2[[#This Row],[Inntekt]]&gt;=J$435,J$435,Tabell2[[#This Row],[Inntekt]]))</f>
        <v>378200</v>
      </c>
      <c r="T144" s="22">
        <f>IF(Tabell2[[#This Row],[NIBR11-T]]&lt;=K$437,100,IF(Tabell2[[#This Row],[NIBR11-T]]&gt;=K$436,0,100*(K$436-Tabell2[[#This Row],[NIBR11-T]])/K$439))</f>
        <v>10</v>
      </c>
      <c r="U144" s="7">
        <f>IF(Tabell2[[#This Row],[ReisetidOslo-T]]&lt;=L$437,100,IF(Tabell2[[#This Row],[ReisetidOslo-T]]&gt;=L$436,0,100*(L$436-Tabell2[[#This Row],[ReisetidOslo-T]])/L$439))</f>
        <v>46.00658135283917</v>
      </c>
      <c r="V144" s="7">
        <f>100-(M$436-Tabell2[[#This Row],[Beftettotal-T]])*100/M$439</f>
        <v>0.74087187119154407</v>
      </c>
      <c r="W144" s="7">
        <f>100-(N$436-Tabell2[[#This Row],[Befvekst10-T]])*100/N$439</f>
        <v>0</v>
      </c>
      <c r="X144" s="7">
        <f>100-(O$436-Tabell2[[#This Row],[Kvinneandel-T]])*100/O$439</f>
        <v>0</v>
      </c>
      <c r="Y144" s="7">
        <f>(P$436-Tabell2[[#This Row],[Eldreandel-T]])*100/P$439</f>
        <v>30.067422453337901</v>
      </c>
      <c r="Z144" s="7">
        <f>100-(Q$436-Tabell2[[#This Row],[Sysselsettingsvekst10-T]])*100/Q$439</f>
        <v>13.934648680560386</v>
      </c>
      <c r="AA144" s="7">
        <f>100-(R$436-Tabell2[[#This Row],[Yrkesaktivandel-T]])*100/R$439</f>
        <v>78.623679585856905</v>
      </c>
      <c r="AB144" s="7">
        <f>100-(S$436-Tabell2[[#This Row],[Inntekt-T]])*100/S$439</f>
        <v>54.051543998142556</v>
      </c>
      <c r="AC144" s="55">
        <f>Tabell2[[#This Row],[NIBR11-I]]*Vekter!$B$3</f>
        <v>2</v>
      </c>
      <c r="AD144" s="55">
        <f>Tabell2[[#This Row],[ReisetidOslo-I]]*Vekter!$C$3</f>
        <v>4.6006581352839175</v>
      </c>
      <c r="AE144" s="55">
        <f>Tabell2[[#This Row],[Beftettotal-I]]*Vekter!$D$3</f>
        <v>7.4087187119154407E-2</v>
      </c>
      <c r="AF144" s="55">
        <f>Tabell2[[#This Row],[Befvekst10-I]]*Vekter!$E$3</f>
        <v>0</v>
      </c>
      <c r="AG144" s="55">
        <f>Tabell2[[#This Row],[Kvinneandel-I]]*Vekter!$F$3</f>
        <v>0</v>
      </c>
      <c r="AH144" s="55">
        <f>Tabell2[[#This Row],[Eldreandel-I]]*Vekter!$G$3</f>
        <v>1.5033711226668951</v>
      </c>
      <c r="AI144" s="55">
        <f>Tabell2[[#This Row],[Sysselsettingsvekst10-I]]*Vekter!$H$3</f>
        <v>1.3934648680560386</v>
      </c>
      <c r="AJ144" s="55">
        <f>Tabell2[[#This Row],[Yrkesaktivandel-I]]*Vekter!$J$3</f>
        <v>7.8623679585856907</v>
      </c>
      <c r="AK144" s="55">
        <f>Tabell2[[#This Row],[Inntekt-I]]*Vekter!$L$3</f>
        <v>5.4051543998142559</v>
      </c>
      <c r="AL144" s="56">
        <f>SUM(Tabell2[[#This Row],[NIBR11-v]:[Inntekt-v]])</f>
        <v>22.839103671525955</v>
      </c>
    </row>
    <row r="145" spans="1:38" x14ac:dyDescent="0.25">
      <c r="A145" s="2" t="s">
        <v>142</v>
      </c>
      <c r="B145">
        <f>'Rådata-K'!M144</f>
        <v>10</v>
      </c>
      <c r="C145" s="7">
        <f>'Rådata-K'!L144</f>
        <v>168.283333333</v>
      </c>
      <c r="D145" s="34">
        <f>'Rådata-K'!N144</f>
        <v>1.1877624088813332</v>
      </c>
      <c r="E145" s="34">
        <f>'Rådata-K'!O144</f>
        <v>-1.836083022884516E-2</v>
      </c>
      <c r="F145" s="34">
        <f>'Rådata-K'!P144</f>
        <v>0.10544863106532935</v>
      </c>
      <c r="G145" s="34">
        <f>'Rådata-K'!Q144</f>
        <v>0.17538628354567634</v>
      </c>
      <c r="H145" s="34">
        <f>'Rådata-K'!R144</f>
        <v>1.4302741358760418E-2</v>
      </c>
      <c r="I145" s="34">
        <f>'Rådata-K'!S144</f>
        <v>0.98709369024856597</v>
      </c>
      <c r="J145" s="22">
        <f>'Rådata-K'!K144</f>
        <v>380700</v>
      </c>
      <c r="K145" s="22">
        <f>Tabell2[[#This Row],[NIBR11]]</f>
        <v>10</v>
      </c>
      <c r="L145" s="32">
        <f>IF(Tabell2[[#This Row],[ReisetidOslo]]&lt;=C$434,C$434,IF(Tabell2[[#This Row],[ReisetidOslo]]&gt;=C$435,C$435,Tabell2[[#This Row],[ReisetidOslo]]))</f>
        <v>168.283333333</v>
      </c>
      <c r="M145" s="32">
        <f>IF(Tabell2[[#This Row],[Beftettotal]]&lt;=D$434,D$434,IF(Tabell2[[#This Row],[Beftettotal]]&gt;=D$435,D$435,Tabell2[[#This Row],[Beftettotal]]))</f>
        <v>1.3297721240876861</v>
      </c>
      <c r="N145" s="34">
        <f>IF(Tabell2[[#This Row],[Befvekst10]]&lt;=E$434,E$434,IF(Tabell2[[#This Row],[Befvekst10]]&gt;=E$435,E$435,Tabell2[[#This Row],[Befvekst10]]))</f>
        <v>-1.836083022884516E-2</v>
      </c>
      <c r="O145" s="34">
        <f>IF(Tabell2[[#This Row],[Kvinneandel]]&lt;=F$434,F$434,IF(Tabell2[[#This Row],[Kvinneandel]]&gt;=F$435,F$435,Tabell2[[#This Row],[Kvinneandel]]))</f>
        <v>0.10544863106532935</v>
      </c>
      <c r="P145" s="34">
        <f>IF(Tabell2[[#This Row],[Eldreandel]]&lt;=G$434,G$434,IF(Tabell2[[#This Row],[Eldreandel]]&gt;=G$435,G$435,Tabell2[[#This Row],[Eldreandel]]))</f>
        <v>0.17538628354567634</v>
      </c>
      <c r="Q145" s="34">
        <f>IF(Tabell2[[#This Row],[Sysselsettingsvekst10]]&lt;=H$434,H$434,IF(Tabell2[[#This Row],[Sysselsettingsvekst10]]&gt;=H$435,H$435,Tabell2[[#This Row],[Sysselsettingsvekst10]]))</f>
        <v>1.4302741358760418E-2</v>
      </c>
      <c r="R145" s="34">
        <f>IF(Tabell2[[#This Row],[Yrkesaktivandel]]&lt;=I$434,I$434,IF(Tabell2[[#This Row],[Yrkesaktivandel]]&gt;=I$435,I$435,Tabell2[[#This Row],[Yrkesaktivandel]]))</f>
        <v>0.96203284815106216</v>
      </c>
      <c r="S145" s="22">
        <f>IF(Tabell2[[#This Row],[Inntekt]]&lt;=J$434,J$434,IF(Tabell2[[#This Row],[Inntekt]]&gt;=J$435,J$435,Tabell2[[#This Row],[Inntekt]]))</f>
        <v>380700</v>
      </c>
      <c r="T145" s="22">
        <f>IF(Tabell2[[#This Row],[NIBR11-T]]&lt;=K$437,100,IF(Tabell2[[#This Row],[NIBR11-T]]&gt;=K$436,0,100*(K$436-Tabell2[[#This Row],[NIBR11-T]])/K$439))</f>
        <v>10</v>
      </c>
      <c r="U145" s="7">
        <f>IF(Tabell2[[#This Row],[ReisetidOslo-T]]&lt;=L$437,100,IF(Tabell2[[#This Row],[ReisetidOslo-T]]&gt;=L$436,0,100*(L$436-Tabell2[[#This Row],[ReisetidOslo-T]])/L$439))</f>
        <v>49.216819012948527</v>
      </c>
      <c r="V145" s="7">
        <f>100-(M$436-Tabell2[[#This Row],[Beftettotal-T]])*100/M$439</f>
        <v>0</v>
      </c>
      <c r="W145" s="7">
        <f>100-(N$436-Tabell2[[#This Row],[Befvekst10-T]])*100/N$439</f>
        <v>23.286616439150592</v>
      </c>
      <c r="X145" s="7">
        <f>100-(O$436-Tabell2[[#This Row],[Kvinneandel-T]])*100/O$439</f>
        <v>39.527384463865445</v>
      </c>
      <c r="Y145" s="7">
        <f>(P$436-Tabell2[[#This Row],[Eldreandel-T]])*100/P$439</f>
        <v>42.732840293730611</v>
      </c>
      <c r="Z145" s="7">
        <f>100-(Q$436-Tabell2[[#This Row],[Sysselsettingsvekst10-T]])*100/Q$439</f>
        <v>25.004213131244384</v>
      </c>
      <c r="AA145" s="7">
        <f>100-(R$436-Tabell2[[#This Row],[Yrkesaktivandel-T]])*100/R$439</f>
        <v>100</v>
      </c>
      <c r="AB145" s="7">
        <f>100-(S$436-Tabell2[[#This Row],[Inntekt-T]])*100/S$439</f>
        <v>56.95379614580915</v>
      </c>
      <c r="AC145" s="55">
        <f>Tabell2[[#This Row],[NIBR11-I]]*Vekter!$B$3</f>
        <v>2</v>
      </c>
      <c r="AD145" s="55">
        <f>Tabell2[[#This Row],[ReisetidOslo-I]]*Vekter!$C$3</f>
        <v>4.9216819012948534</v>
      </c>
      <c r="AE145" s="55">
        <f>Tabell2[[#This Row],[Beftettotal-I]]*Vekter!$D$3</f>
        <v>0</v>
      </c>
      <c r="AF145" s="55">
        <f>Tabell2[[#This Row],[Befvekst10-I]]*Vekter!$E$3</f>
        <v>4.6573232878301187</v>
      </c>
      <c r="AG145" s="55">
        <f>Tabell2[[#This Row],[Kvinneandel-I]]*Vekter!$F$3</f>
        <v>1.9763692231932724</v>
      </c>
      <c r="AH145" s="55">
        <f>Tabell2[[#This Row],[Eldreandel-I]]*Vekter!$G$3</f>
        <v>2.1366420146865308</v>
      </c>
      <c r="AI145" s="55">
        <f>Tabell2[[#This Row],[Sysselsettingsvekst10-I]]*Vekter!$H$3</f>
        <v>2.5004213131244386</v>
      </c>
      <c r="AJ145" s="55">
        <f>Tabell2[[#This Row],[Yrkesaktivandel-I]]*Vekter!$J$3</f>
        <v>10</v>
      </c>
      <c r="AK145" s="55">
        <f>Tabell2[[#This Row],[Inntekt-I]]*Vekter!$L$3</f>
        <v>5.695379614580915</v>
      </c>
      <c r="AL145" s="56">
        <f>SUM(Tabell2[[#This Row],[NIBR11-v]:[Inntekt-v]])</f>
        <v>33.88781735471013</v>
      </c>
    </row>
    <row r="146" spans="1:38" x14ac:dyDescent="0.25">
      <c r="A146" s="2" t="s">
        <v>143</v>
      </c>
      <c r="B146">
        <f>'Rådata-K'!M145</f>
        <v>5</v>
      </c>
      <c r="C146" s="7">
        <f>'Rådata-K'!L145</f>
        <v>159.41666666699999</v>
      </c>
      <c r="D146" s="34">
        <f>'Rådata-K'!N145</f>
        <v>35.801637475386052</v>
      </c>
      <c r="E146" s="34">
        <f>'Rådata-K'!O145</f>
        <v>0</v>
      </c>
      <c r="F146" s="34">
        <f>'Rådata-K'!P145</f>
        <v>0.10160660008684325</v>
      </c>
      <c r="G146" s="34">
        <f>'Rådata-K'!Q145</f>
        <v>0.17716022579244464</v>
      </c>
      <c r="H146" s="34">
        <f>'Rådata-K'!R145</f>
        <v>7.3725490196078436E-2</v>
      </c>
      <c r="I146" s="34">
        <f>'Rådata-K'!S145</f>
        <v>0.80932854946181443</v>
      </c>
      <c r="J146" s="22">
        <f>'Rådata-K'!K145</f>
        <v>354700</v>
      </c>
      <c r="K146" s="22">
        <f>Tabell2[[#This Row],[NIBR11]]</f>
        <v>5</v>
      </c>
      <c r="L146" s="32">
        <f>IF(Tabell2[[#This Row],[ReisetidOslo]]&lt;=C$434,C$434,IF(Tabell2[[#This Row],[ReisetidOslo]]&gt;=C$435,C$435,Tabell2[[#This Row],[ReisetidOslo]]))</f>
        <v>159.41666666699999</v>
      </c>
      <c r="M146" s="32">
        <f>IF(Tabell2[[#This Row],[Beftettotal]]&lt;=D$434,D$434,IF(Tabell2[[#This Row],[Beftettotal]]&gt;=D$435,D$435,Tabell2[[#This Row],[Beftettotal]]))</f>
        <v>35.801637475386052</v>
      </c>
      <c r="N146" s="34">
        <f>IF(Tabell2[[#This Row],[Befvekst10]]&lt;=E$434,E$434,IF(Tabell2[[#This Row],[Befvekst10]]&gt;=E$435,E$435,Tabell2[[#This Row],[Befvekst10]]))</f>
        <v>0</v>
      </c>
      <c r="O146" s="34">
        <f>IF(Tabell2[[#This Row],[Kvinneandel]]&lt;=F$434,F$434,IF(Tabell2[[#This Row],[Kvinneandel]]&gt;=F$435,F$435,Tabell2[[#This Row],[Kvinneandel]]))</f>
        <v>0.10160660008684325</v>
      </c>
      <c r="P146" s="34">
        <f>IF(Tabell2[[#This Row],[Eldreandel]]&lt;=G$434,G$434,IF(Tabell2[[#This Row],[Eldreandel]]&gt;=G$435,G$435,Tabell2[[#This Row],[Eldreandel]]))</f>
        <v>0.17716022579244464</v>
      </c>
      <c r="Q146" s="34">
        <f>IF(Tabell2[[#This Row],[Sysselsettingsvekst10]]&lt;=H$434,H$434,IF(Tabell2[[#This Row],[Sysselsettingsvekst10]]&gt;=H$435,H$435,Tabell2[[#This Row],[Sysselsettingsvekst10]]))</f>
        <v>7.3725490196078436E-2</v>
      </c>
      <c r="R146" s="34">
        <f>IF(Tabell2[[#This Row],[Yrkesaktivandel]]&lt;=I$434,I$434,IF(Tabell2[[#This Row],[Yrkesaktivandel]]&gt;=I$435,I$435,Tabell2[[#This Row],[Yrkesaktivandel]]))</f>
        <v>0.83197552842263423</v>
      </c>
      <c r="S146" s="22">
        <f>IF(Tabell2[[#This Row],[Inntekt]]&lt;=J$434,J$434,IF(Tabell2[[#This Row],[Inntekt]]&gt;=J$435,J$435,Tabell2[[#This Row],[Inntekt]]))</f>
        <v>354700</v>
      </c>
      <c r="T146" s="22">
        <f>IF(Tabell2[[#This Row],[NIBR11-T]]&lt;=K$437,100,IF(Tabell2[[#This Row],[NIBR11-T]]&gt;=K$436,0,100*(K$436-Tabell2[[#This Row],[NIBR11-T]])/K$439))</f>
        <v>60</v>
      </c>
      <c r="U146" s="7">
        <f>IF(Tabell2[[#This Row],[ReisetidOslo-T]]&lt;=L$437,100,IF(Tabell2[[#This Row],[ReisetidOslo-T]]&gt;=L$436,0,100*(L$436-Tabell2[[#This Row],[ReisetidOslo-T]])/L$439))</f>
        <v>53.107129798761662</v>
      </c>
      <c r="V146" s="7">
        <f>100-(M$436-Tabell2[[#This Row],[Beftettotal-T]])*100/M$439</f>
        <v>26.666427755714381</v>
      </c>
      <c r="W146" s="7">
        <f>100-(N$436-Tabell2[[#This Row],[Befvekst10-T]])*100/N$439</f>
        <v>30.679357854931823</v>
      </c>
      <c r="X146" s="7">
        <f>100-(O$436-Tabell2[[#This Row],[Kvinneandel-T]])*100/O$439</f>
        <v>29.37488879872015</v>
      </c>
      <c r="Y146" s="7">
        <f>(P$436-Tabell2[[#This Row],[Eldreandel-T]])*100/P$439</f>
        <v>40.78903963826734</v>
      </c>
      <c r="Z146" s="7">
        <f>100-(Q$436-Tabell2[[#This Row],[Sysselsettingsvekst10-T]])*100/Q$439</f>
        <v>42.684911578490315</v>
      </c>
      <c r="AA146" s="7">
        <f>100-(R$436-Tabell2[[#This Row],[Yrkesaktivandel-T]])*100/R$439</f>
        <v>0</v>
      </c>
      <c r="AB146" s="7">
        <f>100-(S$436-Tabell2[[#This Row],[Inntekt-T]])*100/S$439</f>
        <v>26.77037381007662</v>
      </c>
      <c r="AC146" s="55">
        <f>Tabell2[[#This Row],[NIBR11-I]]*Vekter!$B$3</f>
        <v>12</v>
      </c>
      <c r="AD146" s="55">
        <f>Tabell2[[#This Row],[ReisetidOslo-I]]*Vekter!$C$3</f>
        <v>5.3107129798761665</v>
      </c>
      <c r="AE146" s="55">
        <f>Tabell2[[#This Row],[Beftettotal-I]]*Vekter!$D$3</f>
        <v>2.6666427755714381</v>
      </c>
      <c r="AF146" s="55">
        <f>Tabell2[[#This Row],[Befvekst10-I]]*Vekter!$E$3</f>
        <v>6.1358715709863647</v>
      </c>
      <c r="AG146" s="55">
        <f>Tabell2[[#This Row],[Kvinneandel-I]]*Vekter!$F$3</f>
        <v>1.4687444399360077</v>
      </c>
      <c r="AH146" s="55">
        <f>Tabell2[[#This Row],[Eldreandel-I]]*Vekter!$G$3</f>
        <v>2.0394519819133672</v>
      </c>
      <c r="AI146" s="55">
        <f>Tabell2[[#This Row],[Sysselsettingsvekst10-I]]*Vekter!$H$3</f>
        <v>4.2684911578490317</v>
      </c>
      <c r="AJ146" s="55">
        <f>Tabell2[[#This Row],[Yrkesaktivandel-I]]*Vekter!$J$3</f>
        <v>0</v>
      </c>
      <c r="AK146" s="55">
        <f>Tabell2[[#This Row],[Inntekt-I]]*Vekter!$L$3</f>
        <v>2.6770373810076622</v>
      </c>
      <c r="AL146" s="56">
        <f>SUM(Tabell2[[#This Row],[NIBR11-v]:[Inntekt-v]])</f>
        <v>36.56695228714004</v>
      </c>
    </row>
    <row r="147" spans="1:38" x14ac:dyDescent="0.25">
      <c r="A147" s="2" t="s">
        <v>144</v>
      </c>
      <c r="B147">
        <f>'Rådata-K'!M146</f>
        <v>4</v>
      </c>
      <c r="C147" s="7">
        <f>'Rådata-K'!L146</f>
        <v>175.76666666670002</v>
      </c>
      <c r="D147" s="34">
        <f>'Rådata-K'!N146</f>
        <v>72.788958793109117</v>
      </c>
      <c r="E147" s="34">
        <f>'Rådata-K'!O146</f>
        <v>0.17013502779984124</v>
      </c>
      <c r="F147" s="34">
        <f>'Rådata-K'!P146</f>
        <v>0.12806588831568469</v>
      </c>
      <c r="G147" s="34">
        <f>'Rådata-K'!Q146</f>
        <v>0.13204814915376958</v>
      </c>
      <c r="H147" s="34">
        <f>'Rådata-K'!R146</f>
        <v>0.10727720845764699</v>
      </c>
      <c r="I147" s="34">
        <f>'Rådata-K'!S146</f>
        <v>0.83250272543217563</v>
      </c>
      <c r="J147" s="22">
        <f>'Rådata-K'!K146</f>
        <v>395100</v>
      </c>
      <c r="K147" s="22">
        <f>Tabell2[[#This Row],[NIBR11]]</f>
        <v>4</v>
      </c>
      <c r="L147" s="32">
        <f>IF(Tabell2[[#This Row],[ReisetidOslo]]&lt;=C$434,C$434,IF(Tabell2[[#This Row],[ReisetidOslo]]&gt;=C$435,C$435,Tabell2[[#This Row],[ReisetidOslo]]))</f>
        <v>175.76666666670002</v>
      </c>
      <c r="M147" s="32">
        <f>IF(Tabell2[[#This Row],[Beftettotal]]&lt;=D$434,D$434,IF(Tabell2[[#This Row],[Beftettotal]]&gt;=D$435,D$435,Tabell2[[#This Row],[Beftettotal]]))</f>
        <v>72.788958793109117</v>
      </c>
      <c r="N147" s="34">
        <f>IF(Tabell2[[#This Row],[Befvekst10]]&lt;=E$434,E$434,IF(Tabell2[[#This Row],[Befvekst10]]&gt;=E$435,E$435,Tabell2[[#This Row],[Befvekst10]]))</f>
        <v>0.17013502779984124</v>
      </c>
      <c r="O147" s="34">
        <f>IF(Tabell2[[#This Row],[Kvinneandel]]&lt;=F$434,F$434,IF(Tabell2[[#This Row],[Kvinneandel]]&gt;=F$435,F$435,Tabell2[[#This Row],[Kvinneandel]]))</f>
        <v>0.12806588831568469</v>
      </c>
      <c r="P147" s="34">
        <f>IF(Tabell2[[#This Row],[Eldreandel]]&lt;=G$434,G$434,IF(Tabell2[[#This Row],[Eldreandel]]&gt;=G$435,G$435,Tabell2[[#This Row],[Eldreandel]]))</f>
        <v>0.13204814915376958</v>
      </c>
      <c r="Q147" s="34">
        <f>IF(Tabell2[[#This Row],[Sysselsettingsvekst10]]&lt;=H$434,H$434,IF(Tabell2[[#This Row],[Sysselsettingsvekst10]]&gt;=H$435,H$435,Tabell2[[#This Row],[Sysselsettingsvekst10]]))</f>
        <v>0.10727720845764699</v>
      </c>
      <c r="R147" s="34">
        <f>IF(Tabell2[[#This Row],[Yrkesaktivandel]]&lt;=I$434,I$434,IF(Tabell2[[#This Row],[Yrkesaktivandel]]&gt;=I$435,I$435,Tabell2[[#This Row],[Yrkesaktivandel]]))</f>
        <v>0.83250272543217563</v>
      </c>
      <c r="S147" s="22">
        <f>IF(Tabell2[[#This Row],[Inntekt]]&lt;=J$434,J$434,IF(Tabell2[[#This Row],[Inntekt]]&gt;=J$435,J$435,Tabell2[[#This Row],[Inntekt]]))</f>
        <v>395100</v>
      </c>
      <c r="T147" s="22">
        <f>IF(Tabell2[[#This Row],[NIBR11-T]]&lt;=K$437,100,IF(Tabell2[[#This Row],[NIBR11-T]]&gt;=K$436,0,100*(K$436-Tabell2[[#This Row],[NIBR11-T]])/K$439))</f>
        <v>70</v>
      </c>
      <c r="U147" s="7">
        <f>IF(Tabell2[[#This Row],[ReisetidOslo-T]]&lt;=L$437,100,IF(Tabell2[[#This Row],[ReisetidOslo-T]]&gt;=L$436,0,100*(L$436-Tabell2[[#This Row],[ReisetidOslo-T]])/L$439))</f>
        <v>45.933455210228566</v>
      </c>
      <c r="V147" s="7">
        <f>100-(M$436-Tabell2[[#This Row],[Beftettotal-T]])*100/M$439</f>
        <v>55.278738744545365</v>
      </c>
      <c r="W147" s="7">
        <f>100-(N$436-Tabell2[[#This Row],[Befvekst10-T]])*100/N$439</f>
        <v>99.181939198721452</v>
      </c>
      <c r="X147" s="7">
        <f>100-(O$436-Tabell2[[#This Row],[Kvinneandel-T]])*100/O$439</f>
        <v>99.293067634433555</v>
      </c>
      <c r="Y147" s="7">
        <f>(P$436-Tabell2[[#This Row],[Eldreandel-T]])*100/P$439</f>
        <v>90.220685059257775</v>
      </c>
      <c r="Z147" s="7">
        <f>100-(Q$436-Tabell2[[#This Row],[Sysselsettingsvekst10-T]])*100/Q$439</f>
        <v>52.667920183390152</v>
      </c>
      <c r="AA147" s="7">
        <f>100-(R$436-Tabell2[[#This Row],[Yrkesaktivandel-T]])*100/R$439</f>
        <v>0.40535743058694607</v>
      </c>
      <c r="AB147" s="7">
        <f>100-(S$436-Tabell2[[#This Row],[Inntekt-T]])*100/S$439</f>
        <v>73.670768516368696</v>
      </c>
      <c r="AC147" s="55">
        <f>Tabell2[[#This Row],[NIBR11-I]]*Vekter!$B$3</f>
        <v>14</v>
      </c>
      <c r="AD147" s="55">
        <f>Tabell2[[#This Row],[ReisetidOslo-I]]*Vekter!$C$3</f>
        <v>4.5933455210228571</v>
      </c>
      <c r="AE147" s="55">
        <f>Tabell2[[#This Row],[Beftettotal-I]]*Vekter!$D$3</f>
        <v>5.5278738744545368</v>
      </c>
      <c r="AF147" s="55">
        <f>Tabell2[[#This Row],[Befvekst10-I]]*Vekter!$E$3</f>
        <v>19.83638783974429</v>
      </c>
      <c r="AG147" s="55">
        <f>Tabell2[[#This Row],[Kvinneandel-I]]*Vekter!$F$3</f>
        <v>4.9646533817216785</v>
      </c>
      <c r="AH147" s="55">
        <f>Tabell2[[#This Row],[Eldreandel-I]]*Vekter!$G$3</f>
        <v>4.5110342529628893</v>
      </c>
      <c r="AI147" s="55">
        <f>Tabell2[[#This Row],[Sysselsettingsvekst10-I]]*Vekter!$H$3</f>
        <v>5.2667920183390153</v>
      </c>
      <c r="AJ147" s="55">
        <f>Tabell2[[#This Row],[Yrkesaktivandel-I]]*Vekter!$J$3</f>
        <v>4.0535743058694611E-2</v>
      </c>
      <c r="AK147" s="55">
        <f>Tabell2[[#This Row],[Inntekt-I]]*Vekter!$L$3</f>
        <v>7.3670768516368703</v>
      </c>
      <c r="AL147" s="56">
        <f>SUM(Tabell2[[#This Row],[NIBR11-v]:[Inntekt-v]])</f>
        <v>66.107699482940831</v>
      </c>
    </row>
    <row r="148" spans="1:38" x14ac:dyDescent="0.25">
      <c r="A148" s="2" t="s">
        <v>145</v>
      </c>
      <c r="B148">
        <f>'Rådata-K'!M147</f>
        <v>4</v>
      </c>
      <c r="C148" s="7">
        <f>'Rådata-K'!L147</f>
        <v>179.1</v>
      </c>
      <c r="D148" s="34">
        <f>'Rådata-K'!N147</f>
        <v>163.73768792120271</v>
      </c>
      <c r="E148" s="34">
        <f>'Rådata-K'!O147</f>
        <v>0.11450247000705716</v>
      </c>
      <c r="F148" s="34">
        <f>'Rådata-K'!P147</f>
        <v>0.12135055066826478</v>
      </c>
      <c r="G148" s="34">
        <f>'Rådata-K'!Q147</f>
        <v>0.14473416404712905</v>
      </c>
      <c r="H148" s="34">
        <f>'Rådata-K'!R147</f>
        <v>0.14328887036265114</v>
      </c>
      <c r="I148" s="34">
        <f>'Rådata-K'!S147</f>
        <v>0.81117481817831993</v>
      </c>
      <c r="J148" s="22">
        <f>'Rådata-K'!K147</f>
        <v>384100</v>
      </c>
      <c r="K148" s="22">
        <f>Tabell2[[#This Row],[NIBR11]]</f>
        <v>4</v>
      </c>
      <c r="L148" s="32">
        <f>IF(Tabell2[[#This Row],[ReisetidOslo]]&lt;=C$434,C$434,IF(Tabell2[[#This Row],[ReisetidOslo]]&gt;=C$435,C$435,Tabell2[[#This Row],[ReisetidOslo]]))</f>
        <v>179.1</v>
      </c>
      <c r="M148" s="32">
        <f>IF(Tabell2[[#This Row],[Beftettotal]]&lt;=D$434,D$434,IF(Tabell2[[#This Row],[Beftettotal]]&gt;=D$435,D$435,Tabell2[[#This Row],[Beftettotal]]))</f>
        <v>130.60042534801397</v>
      </c>
      <c r="N148" s="34">
        <f>IF(Tabell2[[#This Row],[Befvekst10]]&lt;=E$434,E$434,IF(Tabell2[[#This Row],[Befvekst10]]&gt;=E$435,E$435,Tabell2[[#This Row],[Befvekst10]]))</f>
        <v>0.11450247000705716</v>
      </c>
      <c r="O148" s="34">
        <f>IF(Tabell2[[#This Row],[Kvinneandel]]&lt;=F$434,F$434,IF(Tabell2[[#This Row],[Kvinneandel]]&gt;=F$435,F$435,Tabell2[[#This Row],[Kvinneandel]]))</f>
        <v>0.12135055066826478</v>
      </c>
      <c r="P148" s="34">
        <f>IF(Tabell2[[#This Row],[Eldreandel]]&lt;=G$434,G$434,IF(Tabell2[[#This Row],[Eldreandel]]&gt;=G$435,G$435,Tabell2[[#This Row],[Eldreandel]]))</f>
        <v>0.14473416404712905</v>
      </c>
      <c r="Q148" s="34">
        <f>IF(Tabell2[[#This Row],[Sysselsettingsvekst10]]&lt;=H$434,H$434,IF(Tabell2[[#This Row],[Sysselsettingsvekst10]]&gt;=H$435,H$435,Tabell2[[#This Row],[Sysselsettingsvekst10]]))</f>
        <v>0.14328887036265114</v>
      </c>
      <c r="R148" s="34">
        <f>IF(Tabell2[[#This Row],[Yrkesaktivandel]]&lt;=I$434,I$434,IF(Tabell2[[#This Row],[Yrkesaktivandel]]&gt;=I$435,I$435,Tabell2[[#This Row],[Yrkesaktivandel]]))</f>
        <v>0.83197552842263423</v>
      </c>
      <c r="S148" s="22">
        <f>IF(Tabell2[[#This Row],[Inntekt]]&lt;=J$434,J$434,IF(Tabell2[[#This Row],[Inntekt]]&gt;=J$435,J$435,Tabell2[[#This Row],[Inntekt]]))</f>
        <v>384100</v>
      </c>
      <c r="T148" s="22">
        <f>IF(Tabell2[[#This Row],[NIBR11-T]]&lt;=K$437,100,IF(Tabell2[[#This Row],[NIBR11-T]]&gt;=K$436,0,100*(K$436-Tabell2[[#This Row],[NIBR11-T]])/K$439))</f>
        <v>70</v>
      </c>
      <c r="U148" s="7">
        <f>IF(Tabell2[[#This Row],[ReisetidOslo-T]]&lt;=L$437,100,IF(Tabell2[[#This Row],[ReisetidOslo-T]]&gt;=L$436,0,100*(L$436-Tabell2[[#This Row],[ReisetidOslo-T]])/L$439))</f>
        <v>44.470932358323786</v>
      </c>
      <c r="V148" s="7">
        <f>100-(M$436-Tabell2[[#This Row],[Beftettotal-T]])*100/M$439</f>
        <v>100</v>
      </c>
      <c r="W148" s="7">
        <f>100-(N$436-Tabell2[[#This Row],[Befvekst10-T]])*100/N$439</f>
        <v>76.782237827133429</v>
      </c>
      <c r="X148" s="7">
        <f>100-(O$436-Tabell2[[#This Row],[Kvinneandel-T]])*100/O$439</f>
        <v>81.547912341000213</v>
      </c>
      <c r="Y148" s="7">
        <f>(P$436-Tabell2[[#This Row],[Eldreandel-T]])*100/P$439</f>
        <v>76.319959649593585</v>
      </c>
      <c r="Z148" s="7">
        <f>100-(Q$436-Tabell2[[#This Row],[Sysselsettingsvekst10-T]])*100/Q$439</f>
        <v>63.382862645403826</v>
      </c>
      <c r="AA148" s="7">
        <f>100-(R$436-Tabell2[[#This Row],[Yrkesaktivandel-T]])*100/R$439</f>
        <v>0</v>
      </c>
      <c r="AB148" s="7">
        <f>100-(S$436-Tabell2[[#This Row],[Inntekt-T]])*100/S$439</f>
        <v>60.900859066635711</v>
      </c>
      <c r="AC148" s="55">
        <f>Tabell2[[#This Row],[NIBR11-I]]*Vekter!$B$3</f>
        <v>14</v>
      </c>
      <c r="AD148" s="55">
        <f>Tabell2[[#This Row],[ReisetidOslo-I]]*Vekter!$C$3</f>
        <v>4.4470932358323791</v>
      </c>
      <c r="AE148" s="55">
        <f>Tabell2[[#This Row],[Beftettotal-I]]*Vekter!$D$3</f>
        <v>10</v>
      </c>
      <c r="AF148" s="55">
        <f>Tabell2[[#This Row],[Befvekst10-I]]*Vekter!$E$3</f>
        <v>15.356447565426686</v>
      </c>
      <c r="AG148" s="55">
        <f>Tabell2[[#This Row],[Kvinneandel-I]]*Vekter!$F$3</f>
        <v>4.0773956170500112</v>
      </c>
      <c r="AH148" s="55">
        <f>Tabell2[[#This Row],[Eldreandel-I]]*Vekter!$G$3</f>
        <v>3.8159979824796793</v>
      </c>
      <c r="AI148" s="55">
        <f>Tabell2[[#This Row],[Sysselsettingsvekst10-I]]*Vekter!$H$3</f>
        <v>6.3382862645403826</v>
      </c>
      <c r="AJ148" s="55">
        <f>Tabell2[[#This Row],[Yrkesaktivandel-I]]*Vekter!$J$3</f>
        <v>0</v>
      </c>
      <c r="AK148" s="55">
        <f>Tabell2[[#This Row],[Inntekt-I]]*Vekter!$L$3</f>
        <v>6.0900859066635711</v>
      </c>
      <c r="AL148" s="56">
        <f>SUM(Tabell2[[#This Row],[NIBR11-v]:[Inntekt-v]])</f>
        <v>64.125306571992709</v>
      </c>
    </row>
    <row r="149" spans="1:38" x14ac:dyDescent="0.25">
      <c r="A149" s="2" t="s">
        <v>146</v>
      </c>
      <c r="B149">
        <f>'Rådata-K'!M148</f>
        <v>5</v>
      </c>
      <c r="C149" s="7">
        <f>'Rådata-K'!L148</f>
        <v>146.4</v>
      </c>
      <c r="D149" s="34">
        <f>'Rådata-K'!N148</f>
        <v>7.7016204134848207</v>
      </c>
      <c r="E149" s="34">
        <f>'Rådata-K'!O148</f>
        <v>-7.6000000000000512E-3</v>
      </c>
      <c r="F149" s="34">
        <f>'Rådata-K'!P148</f>
        <v>0.10439338976219266</v>
      </c>
      <c r="G149" s="34">
        <f>'Rådata-K'!Q148</f>
        <v>0.16525594518339379</v>
      </c>
      <c r="H149" s="34">
        <f>'Rådata-K'!R148</f>
        <v>-8.3877995642701486E-2</v>
      </c>
      <c r="I149" s="34">
        <f>'Rådata-K'!S148</f>
        <v>0.83274523641496123</v>
      </c>
      <c r="J149" s="22">
        <f>'Rådata-K'!K148</f>
        <v>330000</v>
      </c>
      <c r="K149" s="22">
        <f>Tabell2[[#This Row],[NIBR11]]</f>
        <v>5</v>
      </c>
      <c r="L149" s="32">
        <f>IF(Tabell2[[#This Row],[ReisetidOslo]]&lt;=C$434,C$434,IF(Tabell2[[#This Row],[ReisetidOslo]]&gt;=C$435,C$435,Tabell2[[#This Row],[ReisetidOslo]]))</f>
        <v>146.4</v>
      </c>
      <c r="M149" s="32">
        <f>IF(Tabell2[[#This Row],[Beftettotal]]&lt;=D$434,D$434,IF(Tabell2[[#This Row],[Beftettotal]]&gt;=D$435,D$435,Tabell2[[#This Row],[Beftettotal]]))</f>
        <v>7.7016204134848207</v>
      </c>
      <c r="N149" s="34">
        <f>IF(Tabell2[[#This Row],[Befvekst10]]&lt;=E$434,E$434,IF(Tabell2[[#This Row],[Befvekst10]]&gt;=E$435,E$435,Tabell2[[#This Row],[Befvekst10]]))</f>
        <v>-7.6000000000000512E-3</v>
      </c>
      <c r="O149" s="34">
        <f>IF(Tabell2[[#This Row],[Kvinneandel]]&lt;=F$434,F$434,IF(Tabell2[[#This Row],[Kvinneandel]]&gt;=F$435,F$435,Tabell2[[#This Row],[Kvinneandel]]))</f>
        <v>0.10439338976219266</v>
      </c>
      <c r="P149" s="34">
        <f>IF(Tabell2[[#This Row],[Eldreandel]]&lt;=G$434,G$434,IF(Tabell2[[#This Row],[Eldreandel]]&gt;=G$435,G$435,Tabell2[[#This Row],[Eldreandel]]))</f>
        <v>0.16525594518339379</v>
      </c>
      <c r="Q149" s="34">
        <f>IF(Tabell2[[#This Row],[Sysselsettingsvekst10]]&lt;=H$434,H$434,IF(Tabell2[[#This Row],[Sysselsettingsvekst10]]&gt;=H$435,H$435,Tabell2[[#This Row],[Sysselsettingsvekst10]]))</f>
        <v>-6.9733479337269061E-2</v>
      </c>
      <c r="R149" s="34">
        <f>IF(Tabell2[[#This Row],[Yrkesaktivandel]]&lt;=I$434,I$434,IF(Tabell2[[#This Row],[Yrkesaktivandel]]&gt;=I$435,I$435,Tabell2[[#This Row],[Yrkesaktivandel]]))</f>
        <v>0.83274523641496123</v>
      </c>
      <c r="S149" s="22">
        <f>IF(Tabell2[[#This Row],[Inntekt]]&lt;=J$434,J$434,IF(Tabell2[[#This Row],[Inntekt]]&gt;=J$435,J$435,Tabell2[[#This Row],[Inntekt]]))</f>
        <v>331640</v>
      </c>
      <c r="T149" s="22">
        <f>IF(Tabell2[[#This Row],[NIBR11-T]]&lt;=K$437,100,IF(Tabell2[[#This Row],[NIBR11-T]]&gt;=K$436,0,100*(K$436-Tabell2[[#This Row],[NIBR11-T]])/K$439))</f>
        <v>60</v>
      </c>
      <c r="U149" s="7">
        <f>IF(Tabell2[[#This Row],[ReisetidOslo-T]]&lt;=L$437,100,IF(Tabell2[[#This Row],[ReisetidOslo-T]]&gt;=L$436,0,100*(L$436-Tabell2[[#This Row],[ReisetidOslo-T]])/L$439))</f>
        <v>58.818281535653206</v>
      </c>
      <c r="V149" s="7">
        <f>100-(M$436-Tabell2[[#This Row],[Beftettotal-T]])*100/M$439</f>
        <v>4.9290756490257905</v>
      </c>
      <c r="W149" s="7">
        <f>100-(N$436-Tabell2[[#This Row],[Befvekst10-T]])*100/N$439</f>
        <v>27.619320042934064</v>
      </c>
      <c r="X149" s="7">
        <f>100-(O$436-Tabell2[[#This Row],[Kvinneandel-T]])*100/O$439</f>
        <v>36.738928874681463</v>
      </c>
      <c r="Y149" s="7">
        <f>(P$436-Tabell2[[#This Row],[Eldreandel-T]])*100/P$439</f>
        <v>53.83317819060548</v>
      </c>
      <c r="Z149" s="7">
        <f>100-(Q$436-Tabell2[[#This Row],[Sysselsettingsvekst10-T]])*100/Q$439</f>
        <v>0</v>
      </c>
      <c r="AA149" s="7">
        <f>100-(R$436-Tabell2[[#This Row],[Yrkesaktivandel-T]])*100/R$439</f>
        <v>0.5918221242250894</v>
      </c>
      <c r="AB149" s="7">
        <f>100-(S$436-Tabell2[[#This Row],[Inntekt-T]])*100/S$439</f>
        <v>0</v>
      </c>
      <c r="AC149" s="55">
        <f>Tabell2[[#This Row],[NIBR11-I]]*Vekter!$B$3</f>
        <v>12</v>
      </c>
      <c r="AD149" s="55">
        <f>Tabell2[[#This Row],[ReisetidOslo-I]]*Vekter!$C$3</f>
        <v>5.881828153565321</v>
      </c>
      <c r="AE149" s="55">
        <f>Tabell2[[#This Row],[Beftettotal-I]]*Vekter!$D$3</f>
        <v>0.49290756490257909</v>
      </c>
      <c r="AF149" s="55">
        <f>Tabell2[[#This Row],[Befvekst10-I]]*Vekter!$E$3</f>
        <v>5.5238640085868127</v>
      </c>
      <c r="AG149" s="55">
        <f>Tabell2[[#This Row],[Kvinneandel-I]]*Vekter!$F$3</f>
        <v>1.8369464437340732</v>
      </c>
      <c r="AH149" s="55">
        <f>Tabell2[[#This Row],[Eldreandel-I]]*Vekter!$G$3</f>
        <v>2.6916589095302741</v>
      </c>
      <c r="AI149" s="55">
        <f>Tabell2[[#This Row],[Sysselsettingsvekst10-I]]*Vekter!$H$3</f>
        <v>0</v>
      </c>
      <c r="AJ149" s="55">
        <f>Tabell2[[#This Row],[Yrkesaktivandel-I]]*Vekter!$J$3</f>
        <v>5.9182212422508942E-2</v>
      </c>
      <c r="AK149" s="55">
        <f>Tabell2[[#This Row],[Inntekt-I]]*Vekter!$L$3</f>
        <v>0</v>
      </c>
      <c r="AL149" s="56">
        <f>SUM(Tabell2[[#This Row],[NIBR11-v]:[Inntekt-v]])</f>
        <v>28.486387292741576</v>
      </c>
    </row>
    <row r="150" spans="1:38" x14ac:dyDescent="0.25">
      <c r="A150" s="2" t="s">
        <v>147</v>
      </c>
      <c r="B150">
        <f>'Rådata-K'!M149</f>
        <v>4</v>
      </c>
      <c r="C150" s="7">
        <f>'Rådata-K'!L149</f>
        <v>154.383333333</v>
      </c>
      <c r="D150" s="34">
        <f>'Rådata-K'!N149</f>
        <v>5.6741178124560667</v>
      </c>
      <c r="E150" s="34">
        <f>'Rådata-K'!O149</f>
        <v>8.84573894282632E-2</v>
      </c>
      <c r="F150" s="34">
        <f>'Rådata-K'!P149</f>
        <v>0.11397423191278494</v>
      </c>
      <c r="G150" s="34">
        <f>'Rådata-K'!Q149</f>
        <v>0.15014866204162536</v>
      </c>
      <c r="H150" s="34">
        <f>'Rådata-K'!R149</f>
        <v>-0.1112903225806452</v>
      </c>
      <c r="I150" s="34">
        <f>'Rådata-K'!S149</f>
        <v>0.84436493738819318</v>
      </c>
      <c r="J150" s="22">
        <f>'Rådata-K'!K149</f>
        <v>345900</v>
      </c>
      <c r="K150" s="22">
        <f>Tabell2[[#This Row],[NIBR11]]</f>
        <v>4</v>
      </c>
      <c r="L150" s="32">
        <f>IF(Tabell2[[#This Row],[ReisetidOslo]]&lt;=C$434,C$434,IF(Tabell2[[#This Row],[ReisetidOslo]]&gt;=C$435,C$435,Tabell2[[#This Row],[ReisetidOslo]]))</f>
        <v>154.383333333</v>
      </c>
      <c r="M150" s="32">
        <f>IF(Tabell2[[#This Row],[Beftettotal]]&lt;=D$434,D$434,IF(Tabell2[[#This Row],[Beftettotal]]&gt;=D$435,D$435,Tabell2[[#This Row],[Beftettotal]]))</f>
        <v>5.6741178124560667</v>
      </c>
      <c r="N150" s="34">
        <f>IF(Tabell2[[#This Row],[Befvekst10]]&lt;=E$434,E$434,IF(Tabell2[[#This Row],[Befvekst10]]&gt;=E$435,E$435,Tabell2[[#This Row],[Befvekst10]]))</f>
        <v>8.84573894282632E-2</v>
      </c>
      <c r="O150" s="34">
        <f>IF(Tabell2[[#This Row],[Kvinneandel]]&lt;=F$434,F$434,IF(Tabell2[[#This Row],[Kvinneandel]]&gt;=F$435,F$435,Tabell2[[#This Row],[Kvinneandel]]))</f>
        <v>0.11397423191278494</v>
      </c>
      <c r="P150" s="34">
        <f>IF(Tabell2[[#This Row],[Eldreandel]]&lt;=G$434,G$434,IF(Tabell2[[#This Row],[Eldreandel]]&gt;=G$435,G$435,Tabell2[[#This Row],[Eldreandel]]))</f>
        <v>0.15014866204162536</v>
      </c>
      <c r="Q150" s="34">
        <f>IF(Tabell2[[#This Row],[Sysselsettingsvekst10]]&lt;=H$434,H$434,IF(Tabell2[[#This Row],[Sysselsettingsvekst10]]&gt;=H$435,H$435,Tabell2[[#This Row],[Sysselsettingsvekst10]]))</f>
        <v>-6.9733479337269061E-2</v>
      </c>
      <c r="R150" s="34">
        <f>IF(Tabell2[[#This Row],[Yrkesaktivandel]]&lt;=I$434,I$434,IF(Tabell2[[#This Row],[Yrkesaktivandel]]&gt;=I$435,I$435,Tabell2[[#This Row],[Yrkesaktivandel]]))</f>
        <v>0.84436493738819318</v>
      </c>
      <c r="S150" s="22">
        <f>IF(Tabell2[[#This Row],[Inntekt]]&lt;=J$434,J$434,IF(Tabell2[[#This Row],[Inntekt]]&gt;=J$435,J$435,Tabell2[[#This Row],[Inntekt]]))</f>
        <v>345900</v>
      </c>
      <c r="T150" s="22">
        <f>IF(Tabell2[[#This Row],[NIBR11-T]]&lt;=K$437,100,IF(Tabell2[[#This Row],[NIBR11-T]]&gt;=K$436,0,100*(K$436-Tabell2[[#This Row],[NIBR11-T]])/K$439))</f>
        <v>70</v>
      </c>
      <c r="U150" s="7">
        <f>IF(Tabell2[[#This Row],[ReisetidOslo-T]]&lt;=L$437,100,IF(Tabell2[[#This Row],[ReisetidOslo-T]]&gt;=L$436,0,100*(L$436-Tabell2[[#This Row],[ReisetidOslo-T]])/L$439))</f>
        <v>55.315539305452475</v>
      </c>
      <c r="V150" s="7">
        <f>100-(M$436-Tabell2[[#This Row],[Beftettotal-T]])*100/M$439</f>
        <v>3.3606588812102274</v>
      </c>
      <c r="W150" s="7">
        <f>100-(N$436-Tabell2[[#This Row],[Befvekst10-T]])*100/N$439</f>
        <v>66.295536328760079</v>
      </c>
      <c r="X150" s="7">
        <f>100-(O$436-Tabell2[[#This Row],[Kvinneandel-T]])*100/O$439</f>
        <v>62.056126717957824</v>
      </c>
      <c r="Y150" s="7">
        <f>(P$436-Tabell2[[#This Row],[Eldreandel-T]])*100/P$439</f>
        <v>70.387012976791823</v>
      </c>
      <c r="Z150" s="7">
        <f>100-(Q$436-Tabell2[[#This Row],[Sysselsettingsvekst10-T]])*100/Q$439</f>
        <v>0</v>
      </c>
      <c r="AA150" s="7">
        <f>100-(R$436-Tabell2[[#This Row],[Yrkesaktivandel-T]])*100/R$439</f>
        <v>9.526114325152335</v>
      </c>
      <c r="AB150" s="7">
        <f>100-(S$436-Tabell2[[#This Row],[Inntekt-T]])*100/S$439</f>
        <v>16.554446250290226</v>
      </c>
      <c r="AC150" s="55">
        <f>Tabell2[[#This Row],[NIBR11-I]]*Vekter!$B$3</f>
        <v>14</v>
      </c>
      <c r="AD150" s="55">
        <f>Tabell2[[#This Row],[ReisetidOslo-I]]*Vekter!$C$3</f>
        <v>5.5315539305452477</v>
      </c>
      <c r="AE150" s="55">
        <f>Tabell2[[#This Row],[Beftettotal-I]]*Vekter!$D$3</f>
        <v>0.33606588812102278</v>
      </c>
      <c r="AF150" s="55">
        <f>Tabell2[[#This Row],[Befvekst10-I]]*Vekter!$E$3</f>
        <v>13.259107265752016</v>
      </c>
      <c r="AG150" s="55">
        <f>Tabell2[[#This Row],[Kvinneandel-I]]*Vekter!$F$3</f>
        <v>3.1028063358978915</v>
      </c>
      <c r="AH150" s="55">
        <f>Tabell2[[#This Row],[Eldreandel-I]]*Vekter!$G$3</f>
        <v>3.5193506488395911</v>
      </c>
      <c r="AI150" s="55">
        <f>Tabell2[[#This Row],[Sysselsettingsvekst10-I]]*Vekter!$H$3</f>
        <v>0</v>
      </c>
      <c r="AJ150" s="55">
        <f>Tabell2[[#This Row],[Yrkesaktivandel-I]]*Vekter!$J$3</f>
        <v>0.9526114325152335</v>
      </c>
      <c r="AK150" s="55">
        <f>Tabell2[[#This Row],[Inntekt-I]]*Vekter!$L$3</f>
        <v>1.6554446250290227</v>
      </c>
      <c r="AL150" s="56">
        <f>SUM(Tabell2[[#This Row],[NIBR11-v]:[Inntekt-v]])</f>
        <v>42.356940126700017</v>
      </c>
    </row>
    <row r="151" spans="1:38" x14ac:dyDescent="0.25">
      <c r="A151" s="2" t="s">
        <v>148</v>
      </c>
      <c r="B151">
        <f>'Rådata-K'!M150</f>
        <v>4</v>
      </c>
      <c r="C151" s="7">
        <f>'Rådata-K'!L150</f>
        <v>160.98333333299999</v>
      </c>
      <c r="D151" s="34">
        <f>'Rådata-K'!N150</f>
        <v>27.792840402555033</v>
      </c>
      <c r="E151" s="34">
        <f>'Rådata-K'!O150</f>
        <v>2.6999490575649432E-2</v>
      </c>
      <c r="F151" s="34">
        <f>'Rådata-K'!P150</f>
        <v>0.11755952380952381</v>
      </c>
      <c r="G151" s="34">
        <f>'Rådata-K'!Q150</f>
        <v>0.17179232804232805</v>
      </c>
      <c r="H151" s="34">
        <f>'Rådata-K'!R150</f>
        <v>7.3717948717948678E-2</v>
      </c>
      <c r="I151" s="34">
        <f>'Rådata-K'!S150</f>
        <v>0.79737991266375541</v>
      </c>
      <c r="J151" s="22">
        <f>'Rådata-K'!K150</f>
        <v>357500</v>
      </c>
      <c r="K151" s="22">
        <f>Tabell2[[#This Row],[NIBR11]]</f>
        <v>4</v>
      </c>
      <c r="L151" s="32">
        <f>IF(Tabell2[[#This Row],[ReisetidOslo]]&lt;=C$434,C$434,IF(Tabell2[[#This Row],[ReisetidOslo]]&gt;=C$435,C$435,Tabell2[[#This Row],[ReisetidOslo]]))</f>
        <v>160.98333333299999</v>
      </c>
      <c r="M151" s="32">
        <f>IF(Tabell2[[#This Row],[Beftettotal]]&lt;=D$434,D$434,IF(Tabell2[[#This Row],[Beftettotal]]&gt;=D$435,D$435,Tabell2[[#This Row],[Beftettotal]]))</f>
        <v>27.792840402555033</v>
      </c>
      <c r="N151" s="34">
        <f>IF(Tabell2[[#This Row],[Befvekst10]]&lt;=E$434,E$434,IF(Tabell2[[#This Row],[Befvekst10]]&gt;=E$435,E$435,Tabell2[[#This Row],[Befvekst10]]))</f>
        <v>2.6999490575649432E-2</v>
      </c>
      <c r="O151" s="34">
        <f>IF(Tabell2[[#This Row],[Kvinneandel]]&lt;=F$434,F$434,IF(Tabell2[[#This Row],[Kvinneandel]]&gt;=F$435,F$435,Tabell2[[#This Row],[Kvinneandel]]))</f>
        <v>0.11755952380952381</v>
      </c>
      <c r="P151" s="34">
        <f>IF(Tabell2[[#This Row],[Eldreandel]]&lt;=G$434,G$434,IF(Tabell2[[#This Row],[Eldreandel]]&gt;=G$435,G$435,Tabell2[[#This Row],[Eldreandel]]))</f>
        <v>0.17179232804232805</v>
      </c>
      <c r="Q151" s="34">
        <f>IF(Tabell2[[#This Row],[Sysselsettingsvekst10]]&lt;=H$434,H$434,IF(Tabell2[[#This Row],[Sysselsettingsvekst10]]&gt;=H$435,H$435,Tabell2[[#This Row],[Sysselsettingsvekst10]]))</f>
        <v>7.3717948717948678E-2</v>
      </c>
      <c r="R151" s="34">
        <f>IF(Tabell2[[#This Row],[Yrkesaktivandel]]&lt;=I$434,I$434,IF(Tabell2[[#This Row],[Yrkesaktivandel]]&gt;=I$435,I$435,Tabell2[[#This Row],[Yrkesaktivandel]]))</f>
        <v>0.83197552842263423</v>
      </c>
      <c r="S151" s="22">
        <f>IF(Tabell2[[#This Row],[Inntekt]]&lt;=J$434,J$434,IF(Tabell2[[#This Row],[Inntekt]]&gt;=J$435,J$435,Tabell2[[#This Row],[Inntekt]]))</f>
        <v>357500</v>
      </c>
      <c r="T151" s="22">
        <f>IF(Tabell2[[#This Row],[NIBR11-T]]&lt;=K$437,100,IF(Tabell2[[#This Row],[NIBR11-T]]&gt;=K$436,0,100*(K$436-Tabell2[[#This Row],[NIBR11-T]])/K$439))</f>
        <v>70</v>
      </c>
      <c r="U151" s="7">
        <f>IF(Tabell2[[#This Row],[ReisetidOslo-T]]&lt;=L$437,100,IF(Tabell2[[#This Row],[ReisetidOslo-T]]&gt;=L$436,0,100*(L$436-Tabell2[[#This Row],[ReisetidOslo-T]])/L$439))</f>
        <v>52.419744058652043</v>
      </c>
      <c r="V151" s="7">
        <f>100-(M$436-Tabell2[[#This Row],[Beftettotal-T]])*100/M$439</f>
        <v>20.471056360044258</v>
      </c>
      <c r="W151" s="7">
        <f>100-(N$436-Tabell2[[#This Row],[Befvekst10-T]])*100/N$439</f>
        <v>41.550339705742864</v>
      </c>
      <c r="X151" s="7">
        <f>100-(O$436-Tabell2[[#This Row],[Kvinneandel-T]])*100/O$439</f>
        <v>71.530194117139658</v>
      </c>
      <c r="Y151" s="7">
        <f>(P$436-Tabell2[[#This Row],[Eldreandel-T]])*100/P$439</f>
        <v>46.670924002961243</v>
      </c>
      <c r="Z151" s="7">
        <f>100-(Q$436-Tabell2[[#This Row],[Sysselsettingsvekst10-T]])*100/Q$439</f>
        <v>42.682667680265006</v>
      </c>
      <c r="AA151" s="7">
        <f>100-(R$436-Tabell2[[#This Row],[Yrkesaktivandel-T]])*100/R$439</f>
        <v>0</v>
      </c>
      <c r="AB151" s="7">
        <f>100-(S$436-Tabell2[[#This Row],[Inntekt-T]])*100/S$439</f>
        <v>30.020896215463196</v>
      </c>
      <c r="AC151" s="55">
        <f>Tabell2[[#This Row],[NIBR11-I]]*Vekter!$B$3</f>
        <v>14</v>
      </c>
      <c r="AD151" s="55">
        <f>Tabell2[[#This Row],[ReisetidOslo-I]]*Vekter!$C$3</f>
        <v>5.2419744058652045</v>
      </c>
      <c r="AE151" s="55">
        <f>Tabell2[[#This Row],[Beftettotal-I]]*Vekter!$D$3</f>
        <v>2.0471056360044257</v>
      </c>
      <c r="AF151" s="55">
        <f>Tabell2[[#This Row],[Befvekst10-I]]*Vekter!$E$3</f>
        <v>8.3100679411485725</v>
      </c>
      <c r="AG151" s="55">
        <f>Tabell2[[#This Row],[Kvinneandel-I]]*Vekter!$F$3</f>
        <v>3.5765097058569832</v>
      </c>
      <c r="AH151" s="55">
        <f>Tabell2[[#This Row],[Eldreandel-I]]*Vekter!$G$3</f>
        <v>2.3335462001480622</v>
      </c>
      <c r="AI151" s="55">
        <f>Tabell2[[#This Row],[Sysselsettingsvekst10-I]]*Vekter!$H$3</f>
        <v>4.2682667680265007</v>
      </c>
      <c r="AJ151" s="55">
        <f>Tabell2[[#This Row],[Yrkesaktivandel-I]]*Vekter!$J$3</f>
        <v>0</v>
      </c>
      <c r="AK151" s="55">
        <f>Tabell2[[#This Row],[Inntekt-I]]*Vekter!$L$3</f>
        <v>3.00208962154632</v>
      </c>
      <c r="AL151" s="56">
        <f>SUM(Tabell2[[#This Row],[NIBR11-v]:[Inntekt-v]])</f>
        <v>42.779560278596065</v>
      </c>
    </row>
    <row r="152" spans="1:38" x14ac:dyDescent="0.25">
      <c r="A152" s="2" t="s">
        <v>149</v>
      </c>
      <c r="B152">
        <f>'Rådata-K'!M151</f>
        <v>4</v>
      </c>
      <c r="C152" s="7">
        <f>'Rådata-K'!L151</f>
        <v>181.4</v>
      </c>
      <c r="D152" s="34">
        <f>'Rådata-K'!N151</f>
        <v>8.5827321387014202</v>
      </c>
      <c r="E152" s="34">
        <f>'Rådata-K'!O151</f>
        <v>0.18407534246575352</v>
      </c>
      <c r="F152" s="34">
        <f>'Rådata-K'!P151</f>
        <v>0.128705712219812</v>
      </c>
      <c r="G152" s="34">
        <f>'Rådata-K'!Q151</f>
        <v>0.12039045553145336</v>
      </c>
      <c r="H152" s="34">
        <f>'Rådata-K'!R151</f>
        <v>0.17631806395851335</v>
      </c>
      <c r="I152" s="34">
        <f>'Rådata-K'!S151</f>
        <v>0.83389935165174434</v>
      </c>
      <c r="J152" s="22">
        <f>'Rådata-K'!K151</f>
        <v>364000</v>
      </c>
      <c r="K152" s="22">
        <f>Tabell2[[#This Row],[NIBR11]]</f>
        <v>4</v>
      </c>
      <c r="L152" s="32">
        <f>IF(Tabell2[[#This Row],[ReisetidOslo]]&lt;=C$434,C$434,IF(Tabell2[[#This Row],[ReisetidOslo]]&gt;=C$435,C$435,Tabell2[[#This Row],[ReisetidOslo]]))</f>
        <v>181.4</v>
      </c>
      <c r="M152" s="32">
        <f>IF(Tabell2[[#This Row],[Beftettotal]]&lt;=D$434,D$434,IF(Tabell2[[#This Row],[Beftettotal]]&gt;=D$435,D$435,Tabell2[[#This Row],[Beftettotal]]))</f>
        <v>8.5827321387014202</v>
      </c>
      <c r="N152" s="34">
        <f>IF(Tabell2[[#This Row],[Befvekst10]]&lt;=E$434,E$434,IF(Tabell2[[#This Row],[Befvekst10]]&gt;=E$435,E$435,Tabell2[[#This Row],[Befvekst10]]))</f>
        <v>0.17216678769030419</v>
      </c>
      <c r="O152" s="34">
        <f>IF(Tabell2[[#This Row],[Kvinneandel]]&lt;=F$434,F$434,IF(Tabell2[[#This Row],[Kvinneandel]]&gt;=F$435,F$435,Tabell2[[#This Row],[Kvinneandel]]))</f>
        <v>0.12833341426573511</v>
      </c>
      <c r="P152" s="34">
        <f>IF(Tabell2[[#This Row],[Eldreandel]]&lt;=G$434,G$434,IF(Tabell2[[#This Row],[Eldreandel]]&gt;=G$435,G$435,Tabell2[[#This Row],[Eldreandel]]))</f>
        <v>0.12312339657223466</v>
      </c>
      <c r="Q152" s="34">
        <f>IF(Tabell2[[#This Row],[Sysselsettingsvekst10]]&lt;=H$434,H$434,IF(Tabell2[[#This Row],[Sysselsettingsvekst10]]&gt;=H$435,H$435,Tabell2[[#This Row],[Sysselsettingsvekst10]]))</f>
        <v>0.17631806395851335</v>
      </c>
      <c r="R152" s="34">
        <f>IF(Tabell2[[#This Row],[Yrkesaktivandel]]&lt;=I$434,I$434,IF(Tabell2[[#This Row],[Yrkesaktivandel]]&gt;=I$435,I$435,Tabell2[[#This Row],[Yrkesaktivandel]]))</f>
        <v>0.83389935165174434</v>
      </c>
      <c r="S152" s="22">
        <f>IF(Tabell2[[#This Row],[Inntekt]]&lt;=J$434,J$434,IF(Tabell2[[#This Row],[Inntekt]]&gt;=J$435,J$435,Tabell2[[#This Row],[Inntekt]]))</f>
        <v>364000</v>
      </c>
      <c r="T152" s="22">
        <f>IF(Tabell2[[#This Row],[NIBR11-T]]&lt;=K$437,100,IF(Tabell2[[#This Row],[NIBR11-T]]&gt;=K$436,0,100*(K$436-Tabell2[[#This Row],[NIBR11-T]])/K$439))</f>
        <v>70</v>
      </c>
      <c r="U152" s="7">
        <f>IF(Tabell2[[#This Row],[ReisetidOslo-T]]&lt;=L$437,100,IF(Tabell2[[#This Row],[ReisetidOslo-T]]&gt;=L$436,0,100*(L$436-Tabell2[[#This Row],[ReisetidOslo-T]])/L$439))</f>
        <v>43.461791590499388</v>
      </c>
      <c r="V152" s="7">
        <f>100-(M$436-Tabell2[[#This Row],[Beftettotal-T]])*100/M$439</f>
        <v>5.6106779332583301</v>
      </c>
      <c r="W152" s="7">
        <f>100-(N$436-Tabell2[[#This Row],[Befvekst10-T]])*100/N$439</f>
        <v>100</v>
      </c>
      <c r="X152" s="7">
        <f>100-(O$436-Tabell2[[#This Row],[Kvinneandel-T]])*100/O$439</f>
        <v>100</v>
      </c>
      <c r="Y152" s="7">
        <f>(P$436-Tabell2[[#This Row],[Eldreandel-T]])*100/P$439</f>
        <v>100</v>
      </c>
      <c r="Z152" s="7">
        <f>100-(Q$436-Tabell2[[#This Row],[Sysselsettingsvekst10-T]])*100/Q$439</f>
        <v>73.210398788555139</v>
      </c>
      <c r="AA152" s="7">
        <f>100-(R$436-Tabell2[[#This Row],[Yrkesaktivandel-T]])*100/R$439</f>
        <v>1.479211806861187</v>
      </c>
      <c r="AB152" s="7">
        <f>100-(S$436-Tabell2[[#This Row],[Inntekt-T]])*100/S$439</f>
        <v>37.566751799396329</v>
      </c>
      <c r="AC152" s="55">
        <f>Tabell2[[#This Row],[NIBR11-I]]*Vekter!$B$3</f>
        <v>14</v>
      </c>
      <c r="AD152" s="55">
        <f>Tabell2[[#This Row],[ReisetidOslo-I]]*Vekter!$C$3</f>
        <v>4.3461791590499388</v>
      </c>
      <c r="AE152" s="55">
        <f>Tabell2[[#This Row],[Beftettotal-I]]*Vekter!$D$3</f>
        <v>0.56106779332583301</v>
      </c>
      <c r="AF152" s="55">
        <f>Tabell2[[#This Row],[Befvekst10-I]]*Vekter!$E$3</f>
        <v>20</v>
      </c>
      <c r="AG152" s="55">
        <f>Tabell2[[#This Row],[Kvinneandel-I]]*Vekter!$F$3</f>
        <v>5</v>
      </c>
      <c r="AH152" s="55">
        <f>Tabell2[[#This Row],[Eldreandel-I]]*Vekter!$G$3</f>
        <v>5</v>
      </c>
      <c r="AI152" s="55">
        <f>Tabell2[[#This Row],[Sysselsettingsvekst10-I]]*Vekter!$H$3</f>
        <v>7.3210398788555144</v>
      </c>
      <c r="AJ152" s="55">
        <f>Tabell2[[#This Row],[Yrkesaktivandel-I]]*Vekter!$J$3</f>
        <v>0.1479211806861187</v>
      </c>
      <c r="AK152" s="55">
        <f>Tabell2[[#This Row],[Inntekt-I]]*Vekter!$L$3</f>
        <v>3.756675179939633</v>
      </c>
      <c r="AL152" s="56">
        <f>SUM(Tabell2[[#This Row],[NIBR11-v]:[Inntekt-v]])</f>
        <v>60.13288319185704</v>
      </c>
    </row>
    <row r="153" spans="1:38" x14ac:dyDescent="0.25">
      <c r="A153" s="2" t="s">
        <v>150</v>
      </c>
      <c r="B153">
        <f>'Rådata-K'!M152</f>
        <v>2</v>
      </c>
      <c r="C153" s="7">
        <f>'Rådata-K'!L152</f>
        <v>166.78333333329999</v>
      </c>
      <c r="D153" s="34">
        <f>'Rådata-K'!N152</f>
        <v>54.303870595031775</v>
      </c>
      <c r="E153" s="34">
        <f>'Rådata-K'!O152</f>
        <v>0.14342585425190757</v>
      </c>
      <c r="F153" s="34">
        <f>'Rådata-K'!P152</f>
        <v>0.11808510638297873</v>
      </c>
      <c r="G153" s="34">
        <f>'Rådata-K'!Q152</f>
        <v>0.14477756286266924</v>
      </c>
      <c r="H153" s="34">
        <f>'Rådata-K'!R152</f>
        <v>0.41251596424010217</v>
      </c>
      <c r="I153" s="34">
        <f>'Rådata-K'!S152</f>
        <v>0.8761694165674434</v>
      </c>
      <c r="J153" s="22">
        <f>'Rådata-K'!K152</f>
        <v>405500</v>
      </c>
      <c r="K153" s="22">
        <f>Tabell2[[#This Row],[NIBR11]]</f>
        <v>2</v>
      </c>
      <c r="L153" s="32">
        <f>IF(Tabell2[[#This Row],[ReisetidOslo]]&lt;=C$434,C$434,IF(Tabell2[[#This Row],[ReisetidOslo]]&gt;=C$435,C$435,Tabell2[[#This Row],[ReisetidOslo]]))</f>
        <v>166.78333333329999</v>
      </c>
      <c r="M153" s="32">
        <f>IF(Tabell2[[#This Row],[Beftettotal]]&lt;=D$434,D$434,IF(Tabell2[[#This Row],[Beftettotal]]&gt;=D$435,D$435,Tabell2[[#This Row],[Beftettotal]]))</f>
        <v>54.303870595031775</v>
      </c>
      <c r="N153" s="34">
        <f>IF(Tabell2[[#This Row],[Befvekst10]]&lt;=E$434,E$434,IF(Tabell2[[#This Row],[Befvekst10]]&gt;=E$435,E$435,Tabell2[[#This Row],[Befvekst10]]))</f>
        <v>0.14342585425190757</v>
      </c>
      <c r="O153" s="34">
        <f>IF(Tabell2[[#This Row],[Kvinneandel]]&lt;=F$434,F$434,IF(Tabell2[[#This Row],[Kvinneandel]]&gt;=F$435,F$435,Tabell2[[#This Row],[Kvinneandel]]))</f>
        <v>0.11808510638297873</v>
      </c>
      <c r="P153" s="34">
        <f>IF(Tabell2[[#This Row],[Eldreandel]]&lt;=G$434,G$434,IF(Tabell2[[#This Row],[Eldreandel]]&gt;=G$435,G$435,Tabell2[[#This Row],[Eldreandel]]))</f>
        <v>0.14477756286266924</v>
      </c>
      <c r="Q153" s="34">
        <f>IF(Tabell2[[#This Row],[Sysselsettingsvekst10]]&lt;=H$434,H$434,IF(Tabell2[[#This Row],[Sysselsettingsvekst10]]&gt;=H$435,H$435,Tabell2[[#This Row],[Sysselsettingsvekst10]]))</f>
        <v>0.26635476409167841</v>
      </c>
      <c r="R153" s="34">
        <f>IF(Tabell2[[#This Row],[Yrkesaktivandel]]&lt;=I$434,I$434,IF(Tabell2[[#This Row],[Yrkesaktivandel]]&gt;=I$435,I$435,Tabell2[[#This Row],[Yrkesaktivandel]]))</f>
        <v>0.8761694165674434</v>
      </c>
      <c r="S153" s="22">
        <f>IF(Tabell2[[#This Row],[Inntekt]]&lt;=J$434,J$434,IF(Tabell2[[#This Row],[Inntekt]]&gt;=J$435,J$435,Tabell2[[#This Row],[Inntekt]]))</f>
        <v>405500</v>
      </c>
      <c r="T153" s="22">
        <f>IF(Tabell2[[#This Row],[NIBR11-T]]&lt;=K$437,100,IF(Tabell2[[#This Row],[NIBR11-T]]&gt;=K$436,0,100*(K$436-Tabell2[[#This Row],[NIBR11-T]])/K$439))</f>
        <v>90</v>
      </c>
      <c r="U153" s="7">
        <f>IF(Tabell2[[#This Row],[ReisetidOslo-T]]&lt;=L$437,100,IF(Tabell2[[#This Row],[ReisetidOslo-T]]&gt;=L$436,0,100*(L$436-Tabell2[[#This Row],[ReisetidOslo-T]])/L$439))</f>
        <v>49.87495429618064</v>
      </c>
      <c r="V153" s="7">
        <f>100-(M$436-Tabell2[[#This Row],[Beftettotal-T]])*100/M$439</f>
        <v>40.979214655302201</v>
      </c>
      <c r="W153" s="7">
        <f>100-(N$436-Tabell2[[#This Row],[Befvekst10-T]])*100/N$439</f>
        <v>88.427849595578436</v>
      </c>
      <c r="X153" s="7">
        <f>100-(O$436-Tabell2[[#This Row],[Kvinneandel-T]])*100/O$439</f>
        <v>72.919036328083919</v>
      </c>
      <c r="Y153" s="7">
        <f>(P$436-Tabell2[[#This Row],[Eldreandel-T]])*100/P$439</f>
        <v>76.27240531334219</v>
      </c>
      <c r="Z153" s="7">
        <f>100-(Q$436-Tabell2[[#This Row],[Sysselsettingsvekst10-T]])*100/Q$439</f>
        <v>100</v>
      </c>
      <c r="AA153" s="7">
        <f>100-(R$436-Tabell2[[#This Row],[Yrkesaktivandel-T]])*100/R$439</f>
        <v>33.980315938457153</v>
      </c>
      <c r="AB153" s="7">
        <f>100-(S$436-Tabell2[[#This Row],[Inntekt-T]])*100/S$439</f>
        <v>85.744137450661711</v>
      </c>
      <c r="AC153" s="55">
        <f>Tabell2[[#This Row],[NIBR11-I]]*Vekter!$B$3</f>
        <v>18</v>
      </c>
      <c r="AD153" s="55">
        <f>Tabell2[[#This Row],[ReisetidOslo-I]]*Vekter!$C$3</f>
        <v>4.9874954296180647</v>
      </c>
      <c r="AE153" s="55">
        <f>Tabell2[[#This Row],[Beftettotal-I]]*Vekter!$D$3</f>
        <v>4.0979214655302201</v>
      </c>
      <c r="AF153" s="55">
        <f>Tabell2[[#This Row],[Befvekst10-I]]*Vekter!$E$3</f>
        <v>17.685569919115689</v>
      </c>
      <c r="AG153" s="55">
        <f>Tabell2[[#This Row],[Kvinneandel-I]]*Vekter!$F$3</f>
        <v>3.645951816404196</v>
      </c>
      <c r="AH153" s="55">
        <f>Tabell2[[#This Row],[Eldreandel-I]]*Vekter!$G$3</f>
        <v>3.8136202656671099</v>
      </c>
      <c r="AI153" s="55">
        <f>Tabell2[[#This Row],[Sysselsettingsvekst10-I]]*Vekter!$H$3</f>
        <v>10</v>
      </c>
      <c r="AJ153" s="55">
        <f>Tabell2[[#This Row],[Yrkesaktivandel-I]]*Vekter!$J$3</f>
        <v>3.3980315938457153</v>
      </c>
      <c r="AK153" s="55">
        <f>Tabell2[[#This Row],[Inntekt-I]]*Vekter!$L$3</f>
        <v>8.5744137450661722</v>
      </c>
      <c r="AL153" s="56">
        <f>SUM(Tabell2[[#This Row],[NIBR11-v]:[Inntekt-v]])</f>
        <v>74.203004235247164</v>
      </c>
    </row>
    <row r="154" spans="1:38" x14ac:dyDescent="0.25">
      <c r="A154" s="2" t="s">
        <v>151</v>
      </c>
      <c r="B154">
        <f>'Rådata-K'!M153</f>
        <v>2</v>
      </c>
      <c r="C154" s="7">
        <f>'Rådata-K'!L153</f>
        <v>164.6</v>
      </c>
      <c r="D154" s="34">
        <f>'Rådata-K'!N153</f>
        <v>7.4679995846991298</v>
      </c>
      <c r="E154" s="34">
        <f>'Rådata-K'!O153</f>
        <v>0.16013824884792616</v>
      </c>
      <c r="F154" s="34">
        <f>'Rådata-K'!P153</f>
        <v>0.12850049652432968</v>
      </c>
      <c r="G154" s="34">
        <f>'Rådata-K'!Q153</f>
        <v>0.13207547169811321</v>
      </c>
      <c r="H154" s="34">
        <f>'Rådata-K'!R153</f>
        <v>0.10193548387096785</v>
      </c>
      <c r="I154" s="34">
        <f>'Rådata-K'!S153</f>
        <v>0.88873139617292696</v>
      </c>
      <c r="J154" s="22">
        <f>'Rådata-K'!K153</f>
        <v>351300</v>
      </c>
      <c r="K154" s="22">
        <f>Tabell2[[#This Row],[NIBR11]]</f>
        <v>2</v>
      </c>
      <c r="L154" s="32">
        <f>IF(Tabell2[[#This Row],[ReisetidOslo]]&lt;=C$434,C$434,IF(Tabell2[[#This Row],[ReisetidOslo]]&gt;=C$435,C$435,Tabell2[[#This Row],[ReisetidOslo]]))</f>
        <v>164.6</v>
      </c>
      <c r="M154" s="32">
        <f>IF(Tabell2[[#This Row],[Beftettotal]]&lt;=D$434,D$434,IF(Tabell2[[#This Row],[Beftettotal]]&gt;=D$435,D$435,Tabell2[[#This Row],[Beftettotal]]))</f>
        <v>7.4679995846991298</v>
      </c>
      <c r="N154" s="34">
        <f>IF(Tabell2[[#This Row],[Befvekst10]]&lt;=E$434,E$434,IF(Tabell2[[#This Row],[Befvekst10]]&gt;=E$435,E$435,Tabell2[[#This Row],[Befvekst10]]))</f>
        <v>0.16013824884792616</v>
      </c>
      <c r="O154" s="34">
        <f>IF(Tabell2[[#This Row],[Kvinneandel]]&lt;=F$434,F$434,IF(Tabell2[[#This Row],[Kvinneandel]]&gt;=F$435,F$435,Tabell2[[#This Row],[Kvinneandel]]))</f>
        <v>0.12833341426573511</v>
      </c>
      <c r="P154" s="34">
        <f>IF(Tabell2[[#This Row],[Eldreandel]]&lt;=G$434,G$434,IF(Tabell2[[#This Row],[Eldreandel]]&gt;=G$435,G$435,Tabell2[[#This Row],[Eldreandel]]))</f>
        <v>0.13207547169811321</v>
      </c>
      <c r="Q154" s="34">
        <f>IF(Tabell2[[#This Row],[Sysselsettingsvekst10]]&lt;=H$434,H$434,IF(Tabell2[[#This Row],[Sysselsettingsvekst10]]&gt;=H$435,H$435,Tabell2[[#This Row],[Sysselsettingsvekst10]]))</f>
        <v>0.10193548387096785</v>
      </c>
      <c r="R154" s="34">
        <f>IF(Tabell2[[#This Row],[Yrkesaktivandel]]&lt;=I$434,I$434,IF(Tabell2[[#This Row],[Yrkesaktivandel]]&gt;=I$435,I$435,Tabell2[[#This Row],[Yrkesaktivandel]]))</f>
        <v>0.88873139617292696</v>
      </c>
      <c r="S154" s="22">
        <f>IF(Tabell2[[#This Row],[Inntekt]]&lt;=J$434,J$434,IF(Tabell2[[#This Row],[Inntekt]]&gt;=J$435,J$435,Tabell2[[#This Row],[Inntekt]]))</f>
        <v>351300</v>
      </c>
      <c r="T154" s="22">
        <f>IF(Tabell2[[#This Row],[NIBR11-T]]&lt;=K$437,100,IF(Tabell2[[#This Row],[NIBR11-T]]&gt;=K$436,0,100*(K$436-Tabell2[[#This Row],[NIBR11-T]])/K$439))</f>
        <v>90</v>
      </c>
      <c r="U154" s="7">
        <f>IF(Tabell2[[#This Row],[ReisetidOslo-T]]&lt;=L$437,100,IF(Tabell2[[#This Row],[ReisetidOslo-T]]&gt;=L$436,0,100*(L$436-Tabell2[[#This Row],[ReisetidOslo-T]])/L$439))</f>
        <v>50.832906764173224</v>
      </c>
      <c r="V154" s="7">
        <f>100-(M$436-Tabell2[[#This Row],[Beftettotal-T]])*100/M$439</f>
        <v>4.7483534023601095</v>
      </c>
      <c r="W154" s="7">
        <f>100-(N$436-Tabell2[[#This Row],[Befvekst10-T]])*100/N$439</f>
        <v>95.156870568321011</v>
      </c>
      <c r="X154" s="7">
        <f>100-(O$436-Tabell2[[#This Row],[Kvinneandel-T]])*100/O$439</f>
        <v>100</v>
      </c>
      <c r="Y154" s="7">
        <f>(P$436-Tabell2[[#This Row],[Eldreandel-T]])*100/P$439</f>
        <v>90.190746328331898</v>
      </c>
      <c r="Z154" s="7">
        <f>100-(Q$436-Tabell2[[#This Row],[Sysselsettingsvekst10-T]])*100/Q$439</f>
        <v>51.078538617352592</v>
      </c>
      <c r="AA154" s="7">
        <f>100-(R$436-Tabell2[[#This Row],[Yrkesaktivandel-T]])*100/R$439</f>
        <v>43.639118404719078</v>
      </c>
      <c r="AB154" s="7">
        <f>100-(S$436-Tabell2[[#This Row],[Inntekt-T]])*100/S$439</f>
        <v>22.823310889250052</v>
      </c>
      <c r="AC154" s="55">
        <f>Tabell2[[#This Row],[NIBR11-I]]*Vekter!$B$3</f>
        <v>18</v>
      </c>
      <c r="AD154" s="55">
        <f>Tabell2[[#This Row],[ReisetidOslo-I]]*Vekter!$C$3</f>
        <v>5.0832906764173229</v>
      </c>
      <c r="AE154" s="55">
        <f>Tabell2[[#This Row],[Beftettotal-I]]*Vekter!$D$3</f>
        <v>0.47483534023601098</v>
      </c>
      <c r="AF154" s="55">
        <f>Tabell2[[#This Row],[Befvekst10-I]]*Vekter!$E$3</f>
        <v>19.031374113664203</v>
      </c>
      <c r="AG154" s="55">
        <f>Tabell2[[#This Row],[Kvinneandel-I]]*Vekter!$F$3</f>
        <v>5</v>
      </c>
      <c r="AH154" s="55">
        <f>Tabell2[[#This Row],[Eldreandel-I]]*Vekter!$G$3</f>
        <v>4.5095373164165951</v>
      </c>
      <c r="AI154" s="55">
        <f>Tabell2[[#This Row],[Sysselsettingsvekst10-I]]*Vekter!$H$3</f>
        <v>5.1078538617352596</v>
      </c>
      <c r="AJ154" s="55">
        <f>Tabell2[[#This Row],[Yrkesaktivandel-I]]*Vekter!$J$3</f>
        <v>4.3639118404719079</v>
      </c>
      <c r="AK154" s="55">
        <f>Tabell2[[#This Row],[Inntekt-I]]*Vekter!$L$3</f>
        <v>2.2823310889250052</v>
      </c>
      <c r="AL154" s="56">
        <f>SUM(Tabell2[[#This Row],[NIBR11-v]:[Inntekt-v]])</f>
        <v>63.853134237866307</v>
      </c>
    </row>
    <row r="155" spans="1:38" x14ac:dyDescent="0.25">
      <c r="A155" s="2" t="s">
        <v>152</v>
      </c>
      <c r="B155">
        <f>'Rådata-K'!M154</f>
        <v>4</v>
      </c>
      <c r="C155" s="7">
        <f>'Rådata-K'!L154</f>
        <v>183.66666666699999</v>
      </c>
      <c r="D155" s="34">
        <f>'Rådata-K'!N154</f>
        <v>1.6203642281600197</v>
      </c>
      <c r="E155" s="34">
        <f>'Rådata-K'!O154</f>
        <v>1.7212659633536909E-2</v>
      </c>
      <c r="F155" s="34">
        <f>'Rådata-K'!P154</f>
        <v>9.879912663755458E-2</v>
      </c>
      <c r="G155" s="34">
        <f>'Rådata-K'!Q154</f>
        <v>0.17412663755458516</v>
      </c>
      <c r="H155" s="34">
        <f>'Rådata-K'!R154</f>
        <v>-2.8050490883591017E-3</v>
      </c>
      <c r="I155" s="34">
        <f>'Rådata-K'!S154</f>
        <v>0.82416502946954817</v>
      </c>
      <c r="J155" s="22">
        <f>'Rådata-K'!K154</f>
        <v>332700</v>
      </c>
      <c r="K155" s="22">
        <f>Tabell2[[#This Row],[NIBR11]]</f>
        <v>4</v>
      </c>
      <c r="L155" s="32">
        <f>IF(Tabell2[[#This Row],[ReisetidOslo]]&lt;=C$434,C$434,IF(Tabell2[[#This Row],[ReisetidOslo]]&gt;=C$435,C$435,Tabell2[[#This Row],[ReisetidOslo]]))</f>
        <v>183.66666666699999</v>
      </c>
      <c r="M155" s="32">
        <f>IF(Tabell2[[#This Row],[Beftettotal]]&lt;=D$434,D$434,IF(Tabell2[[#This Row],[Beftettotal]]&gt;=D$435,D$435,Tabell2[[#This Row],[Beftettotal]]))</f>
        <v>1.6203642281600197</v>
      </c>
      <c r="N155" s="34">
        <f>IF(Tabell2[[#This Row],[Befvekst10]]&lt;=E$434,E$434,IF(Tabell2[[#This Row],[Befvekst10]]&gt;=E$435,E$435,Tabell2[[#This Row],[Befvekst10]]))</f>
        <v>1.7212659633536909E-2</v>
      </c>
      <c r="O155" s="34">
        <f>IF(Tabell2[[#This Row],[Kvinneandel]]&lt;=F$434,F$434,IF(Tabell2[[#This Row],[Kvinneandel]]&gt;=F$435,F$435,Tabell2[[#This Row],[Kvinneandel]]))</f>
        <v>9.879912663755458E-2</v>
      </c>
      <c r="P155" s="34">
        <f>IF(Tabell2[[#This Row],[Eldreandel]]&lt;=G$434,G$434,IF(Tabell2[[#This Row],[Eldreandel]]&gt;=G$435,G$435,Tabell2[[#This Row],[Eldreandel]]))</f>
        <v>0.17412663755458516</v>
      </c>
      <c r="Q155" s="34">
        <f>IF(Tabell2[[#This Row],[Sysselsettingsvekst10]]&lt;=H$434,H$434,IF(Tabell2[[#This Row],[Sysselsettingsvekst10]]&gt;=H$435,H$435,Tabell2[[#This Row],[Sysselsettingsvekst10]]))</f>
        <v>-2.8050490883591017E-3</v>
      </c>
      <c r="R155" s="34">
        <f>IF(Tabell2[[#This Row],[Yrkesaktivandel]]&lt;=I$434,I$434,IF(Tabell2[[#This Row],[Yrkesaktivandel]]&gt;=I$435,I$435,Tabell2[[#This Row],[Yrkesaktivandel]]))</f>
        <v>0.83197552842263423</v>
      </c>
      <c r="S155" s="22">
        <f>IF(Tabell2[[#This Row],[Inntekt]]&lt;=J$434,J$434,IF(Tabell2[[#This Row],[Inntekt]]&gt;=J$435,J$435,Tabell2[[#This Row],[Inntekt]]))</f>
        <v>332700</v>
      </c>
      <c r="T155" s="22">
        <f>IF(Tabell2[[#This Row],[NIBR11-T]]&lt;=K$437,100,IF(Tabell2[[#This Row],[NIBR11-T]]&gt;=K$436,0,100*(K$436-Tabell2[[#This Row],[NIBR11-T]])/K$439))</f>
        <v>70</v>
      </c>
      <c r="U155" s="7">
        <f>IF(Tabell2[[#This Row],[ReisetidOslo-T]]&lt;=L$437,100,IF(Tabell2[[#This Row],[ReisetidOslo-T]]&gt;=L$436,0,100*(L$436-Tabell2[[#This Row],[ReisetidOslo-T]])/L$439))</f>
        <v>42.467276051047946</v>
      </c>
      <c r="V155" s="7">
        <f>100-(M$436-Tabell2[[#This Row],[Beftettotal-T]])*100/M$439</f>
        <v>0.22479356050668287</v>
      </c>
      <c r="W155" s="7">
        <f>100-(N$436-Tabell2[[#This Row],[Befvekst10-T]])*100/N$439</f>
        <v>37.60980381857263</v>
      </c>
      <c r="X155" s="7">
        <f>100-(O$436-Tabell2[[#This Row],[Kvinneandel-T]])*100/O$439</f>
        <v>21.956192233409055</v>
      </c>
      <c r="Y155" s="7">
        <f>(P$436-Tabell2[[#This Row],[Eldreandel-T]])*100/P$439</f>
        <v>44.113099830136207</v>
      </c>
      <c r="Z155" s="7">
        <f>100-(Q$436-Tabell2[[#This Row],[Sysselsettingsvekst10-T]])*100/Q$439</f>
        <v>19.913945684642599</v>
      </c>
      <c r="AA155" s="7">
        <f>100-(R$436-Tabell2[[#This Row],[Yrkesaktivandel-T]])*100/R$439</f>
        <v>0</v>
      </c>
      <c r="AB155" s="7">
        <f>100-(S$436-Tabell2[[#This Row],[Inntekt-T]])*100/S$439</f>
        <v>1.2305549106106355</v>
      </c>
      <c r="AC155" s="55">
        <f>Tabell2[[#This Row],[NIBR11-I]]*Vekter!$B$3</f>
        <v>14</v>
      </c>
      <c r="AD155" s="55">
        <f>Tabell2[[#This Row],[ReisetidOslo-I]]*Vekter!$C$3</f>
        <v>4.2467276051047946</v>
      </c>
      <c r="AE155" s="55">
        <f>Tabell2[[#This Row],[Beftettotal-I]]*Vekter!$D$3</f>
        <v>2.2479356050668288E-2</v>
      </c>
      <c r="AF155" s="55">
        <f>Tabell2[[#This Row],[Befvekst10-I]]*Vekter!$E$3</f>
        <v>7.5219607637145263</v>
      </c>
      <c r="AG155" s="55">
        <f>Tabell2[[#This Row],[Kvinneandel-I]]*Vekter!$F$3</f>
        <v>1.0978096116704528</v>
      </c>
      <c r="AH155" s="55">
        <f>Tabell2[[#This Row],[Eldreandel-I]]*Vekter!$G$3</f>
        <v>2.2056549915068104</v>
      </c>
      <c r="AI155" s="55">
        <f>Tabell2[[#This Row],[Sysselsettingsvekst10-I]]*Vekter!$H$3</f>
        <v>1.99139456846426</v>
      </c>
      <c r="AJ155" s="55">
        <f>Tabell2[[#This Row],[Yrkesaktivandel-I]]*Vekter!$J$3</f>
        <v>0</v>
      </c>
      <c r="AK155" s="55">
        <f>Tabell2[[#This Row],[Inntekt-I]]*Vekter!$L$3</f>
        <v>0.12305549106106356</v>
      </c>
      <c r="AL155" s="56">
        <f>SUM(Tabell2[[#This Row],[NIBR11-v]:[Inntekt-v]])</f>
        <v>31.209082387572572</v>
      </c>
    </row>
    <row r="156" spans="1:38" x14ac:dyDescent="0.25">
      <c r="A156" s="2" t="s">
        <v>153</v>
      </c>
      <c r="B156">
        <f>'Rådata-K'!M155</f>
        <v>2</v>
      </c>
      <c r="C156" s="7">
        <f>'Rådata-K'!L155</f>
        <v>180.55</v>
      </c>
      <c r="D156" s="34">
        <f>'Rådata-K'!N155</f>
        <v>5.0261820127661201</v>
      </c>
      <c r="E156" s="34">
        <f>'Rådata-K'!O155</f>
        <v>0.13951473136915071</v>
      </c>
      <c r="F156" s="34">
        <f>'Rådata-K'!P155</f>
        <v>0.13155893536121674</v>
      </c>
      <c r="G156" s="34">
        <f>'Rådata-K'!Q155</f>
        <v>0.12319391634980989</v>
      </c>
      <c r="H156" s="34">
        <f>'Rådata-K'!R155</f>
        <v>0.45276872964169379</v>
      </c>
      <c r="I156" s="34">
        <f>'Rådata-K'!S155</f>
        <v>0.85512820512820509</v>
      </c>
      <c r="J156" s="22">
        <f>'Rådata-K'!K155</f>
        <v>342600</v>
      </c>
      <c r="K156" s="22">
        <f>Tabell2[[#This Row],[NIBR11]]</f>
        <v>2</v>
      </c>
      <c r="L156" s="32">
        <f>IF(Tabell2[[#This Row],[ReisetidOslo]]&lt;=C$434,C$434,IF(Tabell2[[#This Row],[ReisetidOslo]]&gt;=C$435,C$435,Tabell2[[#This Row],[ReisetidOslo]]))</f>
        <v>180.55</v>
      </c>
      <c r="M156" s="32">
        <f>IF(Tabell2[[#This Row],[Beftettotal]]&lt;=D$434,D$434,IF(Tabell2[[#This Row],[Beftettotal]]&gt;=D$435,D$435,Tabell2[[#This Row],[Beftettotal]]))</f>
        <v>5.0261820127661201</v>
      </c>
      <c r="N156" s="34">
        <f>IF(Tabell2[[#This Row],[Befvekst10]]&lt;=E$434,E$434,IF(Tabell2[[#This Row],[Befvekst10]]&gt;=E$435,E$435,Tabell2[[#This Row],[Befvekst10]]))</f>
        <v>0.13951473136915071</v>
      </c>
      <c r="O156" s="34">
        <f>IF(Tabell2[[#This Row],[Kvinneandel]]&lt;=F$434,F$434,IF(Tabell2[[#This Row],[Kvinneandel]]&gt;=F$435,F$435,Tabell2[[#This Row],[Kvinneandel]]))</f>
        <v>0.12833341426573511</v>
      </c>
      <c r="P156" s="34">
        <f>IF(Tabell2[[#This Row],[Eldreandel]]&lt;=G$434,G$434,IF(Tabell2[[#This Row],[Eldreandel]]&gt;=G$435,G$435,Tabell2[[#This Row],[Eldreandel]]))</f>
        <v>0.12319391634980989</v>
      </c>
      <c r="Q156" s="34">
        <f>IF(Tabell2[[#This Row],[Sysselsettingsvekst10]]&lt;=H$434,H$434,IF(Tabell2[[#This Row],[Sysselsettingsvekst10]]&gt;=H$435,H$435,Tabell2[[#This Row],[Sysselsettingsvekst10]]))</f>
        <v>0.26635476409167841</v>
      </c>
      <c r="R156" s="34">
        <f>IF(Tabell2[[#This Row],[Yrkesaktivandel]]&lt;=I$434,I$434,IF(Tabell2[[#This Row],[Yrkesaktivandel]]&gt;=I$435,I$435,Tabell2[[#This Row],[Yrkesaktivandel]]))</f>
        <v>0.85512820512820509</v>
      </c>
      <c r="S156" s="22">
        <f>IF(Tabell2[[#This Row],[Inntekt]]&lt;=J$434,J$434,IF(Tabell2[[#This Row],[Inntekt]]&gt;=J$435,J$435,Tabell2[[#This Row],[Inntekt]]))</f>
        <v>342600</v>
      </c>
      <c r="T156" s="22">
        <f>IF(Tabell2[[#This Row],[NIBR11-T]]&lt;=K$437,100,IF(Tabell2[[#This Row],[NIBR11-T]]&gt;=K$436,0,100*(K$436-Tabell2[[#This Row],[NIBR11-T]])/K$439))</f>
        <v>90</v>
      </c>
      <c r="U156" s="7">
        <f>IF(Tabell2[[#This Row],[ReisetidOslo-T]]&lt;=L$437,100,IF(Tabell2[[#This Row],[ReisetidOslo-T]]&gt;=L$436,0,100*(L$436-Tabell2[[#This Row],[ReisetidOslo-T]])/L$439))</f>
        <v>43.834734917738835</v>
      </c>
      <c r="V156" s="7">
        <f>100-(M$436-Tabell2[[#This Row],[Beftettotal-T]])*100/M$439</f>
        <v>2.859434679482419</v>
      </c>
      <c r="W156" s="7">
        <f>100-(N$436-Tabell2[[#This Row],[Befvekst10-T]])*100/N$439</f>
        <v>86.85308855497243</v>
      </c>
      <c r="X156" s="7">
        <f>100-(O$436-Tabell2[[#This Row],[Kvinneandel-T]])*100/O$439</f>
        <v>100</v>
      </c>
      <c r="Y156" s="7">
        <f>(P$436-Tabell2[[#This Row],[Eldreandel-T]])*100/P$439</f>
        <v>99.922727817028104</v>
      </c>
      <c r="Z156" s="7">
        <f>100-(Q$436-Tabell2[[#This Row],[Sysselsettingsvekst10-T]])*100/Q$439</f>
        <v>100</v>
      </c>
      <c r="AA156" s="7">
        <f>100-(R$436-Tabell2[[#This Row],[Yrkesaktivandel-T]])*100/R$439</f>
        <v>17.801902079725963</v>
      </c>
      <c r="AB156" s="7">
        <f>100-(S$436-Tabell2[[#This Row],[Inntekt-T]])*100/S$439</f>
        <v>12.723473415370322</v>
      </c>
      <c r="AC156" s="55">
        <f>Tabell2[[#This Row],[NIBR11-I]]*Vekter!$B$3</f>
        <v>18</v>
      </c>
      <c r="AD156" s="55">
        <f>Tabell2[[#This Row],[ReisetidOslo-I]]*Vekter!$C$3</f>
        <v>4.3834734917738833</v>
      </c>
      <c r="AE156" s="55">
        <f>Tabell2[[#This Row],[Beftettotal-I]]*Vekter!$D$3</f>
        <v>0.28594346794824194</v>
      </c>
      <c r="AF156" s="55">
        <f>Tabell2[[#This Row],[Befvekst10-I]]*Vekter!$E$3</f>
        <v>17.370617710994487</v>
      </c>
      <c r="AG156" s="55">
        <f>Tabell2[[#This Row],[Kvinneandel-I]]*Vekter!$F$3</f>
        <v>5</v>
      </c>
      <c r="AH156" s="55">
        <f>Tabell2[[#This Row],[Eldreandel-I]]*Vekter!$G$3</f>
        <v>4.9961363908514054</v>
      </c>
      <c r="AI156" s="55">
        <f>Tabell2[[#This Row],[Sysselsettingsvekst10-I]]*Vekter!$H$3</f>
        <v>10</v>
      </c>
      <c r="AJ156" s="55">
        <f>Tabell2[[#This Row],[Yrkesaktivandel-I]]*Vekter!$J$3</f>
        <v>1.7801902079725964</v>
      </c>
      <c r="AK156" s="55">
        <f>Tabell2[[#This Row],[Inntekt-I]]*Vekter!$L$3</f>
        <v>1.2723473415370323</v>
      </c>
      <c r="AL156" s="56">
        <f>SUM(Tabell2[[#This Row],[NIBR11-v]:[Inntekt-v]])</f>
        <v>63.088708611077649</v>
      </c>
    </row>
    <row r="157" spans="1:38" x14ac:dyDescent="0.25">
      <c r="A157" s="2" t="s">
        <v>154</v>
      </c>
      <c r="B157">
        <f>'Rådata-K'!M156</f>
        <v>5</v>
      </c>
      <c r="C157" s="7">
        <f>'Rådata-K'!L156</f>
        <v>198.0666666667</v>
      </c>
      <c r="D157" s="34">
        <f>'Rådata-K'!N156</f>
        <v>6.4827435799574724</v>
      </c>
      <c r="E157" s="34">
        <f>'Rådata-K'!O156</f>
        <v>7.9273827534039443E-2</v>
      </c>
      <c r="F157" s="34">
        <f>'Rådata-K'!P156</f>
        <v>0.11802635267731988</v>
      </c>
      <c r="G157" s="34">
        <f>'Rådata-K'!Q156</f>
        <v>0.15895710681244743</v>
      </c>
      <c r="H157" s="34">
        <f>'Rådata-K'!R156</f>
        <v>0.18975468975468979</v>
      </c>
      <c r="I157" s="34">
        <f>'Rådata-K'!S156</f>
        <v>0.87798678190137269</v>
      </c>
      <c r="J157" s="22">
        <f>'Rådata-K'!K156</f>
        <v>355700</v>
      </c>
      <c r="K157" s="22">
        <f>Tabell2[[#This Row],[NIBR11]]</f>
        <v>5</v>
      </c>
      <c r="L157" s="32">
        <f>IF(Tabell2[[#This Row],[ReisetidOslo]]&lt;=C$434,C$434,IF(Tabell2[[#This Row],[ReisetidOslo]]&gt;=C$435,C$435,Tabell2[[#This Row],[ReisetidOslo]]))</f>
        <v>198.0666666667</v>
      </c>
      <c r="M157" s="32">
        <f>IF(Tabell2[[#This Row],[Beftettotal]]&lt;=D$434,D$434,IF(Tabell2[[#This Row],[Beftettotal]]&gt;=D$435,D$435,Tabell2[[#This Row],[Beftettotal]]))</f>
        <v>6.4827435799574724</v>
      </c>
      <c r="N157" s="34">
        <f>IF(Tabell2[[#This Row],[Befvekst10]]&lt;=E$434,E$434,IF(Tabell2[[#This Row],[Befvekst10]]&gt;=E$435,E$435,Tabell2[[#This Row],[Befvekst10]]))</f>
        <v>7.9273827534039443E-2</v>
      </c>
      <c r="O157" s="34">
        <f>IF(Tabell2[[#This Row],[Kvinneandel]]&lt;=F$434,F$434,IF(Tabell2[[#This Row],[Kvinneandel]]&gt;=F$435,F$435,Tabell2[[#This Row],[Kvinneandel]]))</f>
        <v>0.11802635267731988</v>
      </c>
      <c r="P157" s="34">
        <f>IF(Tabell2[[#This Row],[Eldreandel]]&lt;=G$434,G$434,IF(Tabell2[[#This Row],[Eldreandel]]&gt;=G$435,G$435,Tabell2[[#This Row],[Eldreandel]]))</f>
        <v>0.15895710681244743</v>
      </c>
      <c r="Q157" s="34">
        <f>IF(Tabell2[[#This Row],[Sysselsettingsvekst10]]&lt;=H$434,H$434,IF(Tabell2[[#This Row],[Sysselsettingsvekst10]]&gt;=H$435,H$435,Tabell2[[#This Row],[Sysselsettingsvekst10]]))</f>
        <v>0.18975468975468979</v>
      </c>
      <c r="R157" s="34">
        <f>IF(Tabell2[[#This Row],[Yrkesaktivandel]]&lt;=I$434,I$434,IF(Tabell2[[#This Row],[Yrkesaktivandel]]&gt;=I$435,I$435,Tabell2[[#This Row],[Yrkesaktivandel]]))</f>
        <v>0.87798678190137269</v>
      </c>
      <c r="S157" s="22">
        <f>IF(Tabell2[[#This Row],[Inntekt]]&lt;=J$434,J$434,IF(Tabell2[[#This Row],[Inntekt]]&gt;=J$435,J$435,Tabell2[[#This Row],[Inntekt]]))</f>
        <v>355700</v>
      </c>
      <c r="T157" s="22">
        <f>IF(Tabell2[[#This Row],[NIBR11-T]]&lt;=K$437,100,IF(Tabell2[[#This Row],[NIBR11-T]]&gt;=K$436,0,100*(K$436-Tabell2[[#This Row],[NIBR11-T]])/K$439))</f>
        <v>60</v>
      </c>
      <c r="U157" s="7">
        <f>IF(Tabell2[[#This Row],[ReisetidOslo-T]]&lt;=L$437,100,IF(Tabell2[[#This Row],[ReisetidOslo-T]]&gt;=L$436,0,100*(L$436-Tabell2[[#This Row],[ReisetidOslo-T]])/L$439))</f>
        <v>36.14917733088771</v>
      </c>
      <c r="V157" s="7">
        <f>100-(M$436-Tabell2[[#This Row],[Beftettotal-T]])*100/M$439</f>
        <v>3.9861881466195257</v>
      </c>
      <c r="W157" s="7">
        <f>100-(N$436-Tabell2[[#This Row],[Befvekst10-T]])*100/N$439</f>
        <v>62.597898612293456</v>
      </c>
      <c r="X157" s="7">
        <f>100-(O$436-Tabell2[[#This Row],[Kvinneandel-T]])*100/O$439</f>
        <v>72.763780749627415</v>
      </c>
      <c r="Y157" s="7">
        <f>(P$436-Tabell2[[#This Row],[Eldreandel-T]])*100/P$439</f>
        <v>60.735142545086461</v>
      </c>
      <c r="Z157" s="7">
        <f>100-(Q$436-Tabell2[[#This Row],[Sysselsettingsvekst10-T]])*100/Q$439</f>
        <v>77.208344583709703</v>
      </c>
      <c r="AA157" s="7">
        <f>100-(R$436-Tabell2[[#This Row],[Yrkesaktivandel-T]])*100/R$439</f>
        <v>35.37767314812757</v>
      </c>
      <c r="AB157" s="7">
        <f>100-(S$436-Tabell2[[#This Row],[Inntekt-T]])*100/S$439</f>
        <v>27.931274669143249</v>
      </c>
      <c r="AC157" s="55">
        <f>Tabell2[[#This Row],[NIBR11-I]]*Vekter!$B$3</f>
        <v>12</v>
      </c>
      <c r="AD157" s="55">
        <f>Tabell2[[#This Row],[ReisetidOslo-I]]*Vekter!$C$3</f>
        <v>3.6149177330887712</v>
      </c>
      <c r="AE157" s="55">
        <f>Tabell2[[#This Row],[Beftettotal-I]]*Vekter!$D$3</f>
        <v>0.39861881466195259</v>
      </c>
      <c r="AF157" s="55">
        <f>Tabell2[[#This Row],[Befvekst10-I]]*Vekter!$E$3</f>
        <v>12.519579722458692</v>
      </c>
      <c r="AG157" s="55">
        <f>Tabell2[[#This Row],[Kvinneandel-I]]*Vekter!$F$3</f>
        <v>3.638189037481371</v>
      </c>
      <c r="AH157" s="55">
        <f>Tabell2[[#This Row],[Eldreandel-I]]*Vekter!$G$3</f>
        <v>3.0367571272543232</v>
      </c>
      <c r="AI157" s="55">
        <f>Tabell2[[#This Row],[Sysselsettingsvekst10-I]]*Vekter!$H$3</f>
        <v>7.7208344583709705</v>
      </c>
      <c r="AJ157" s="55">
        <f>Tabell2[[#This Row],[Yrkesaktivandel-I]]*Vekter!$J$3</f>
        <v>3.5377673148127573</v>
      </c>
      <c r="AK157" s="55">
        <f>Tabell2[[#This Row],[Inntekt-I]]*Vekter!$L$3</f>
        <v>2.7931274669143251</v>
      </c>
      <c r="AL157" s="56">
        <f>SUM(Tabell2[[#This Row],[NIBR11-v]:[Inntekt-v]])</f>
        <v>49.259791675043161</v>
      </c>
    </row>
    <row r="158" spans="1:38" x14ac:dyDescent="0.25">
      <c r="A158" s="2" t="s">
        <v>155</v>
      </c>
      <c r="B158">
        <f>'Rådata-K'!M157</f>
        <v>5</v>
      </c>
      <c r="C158" s="7">
        <f>'Rådata-K'!L157</f>
        <v>223.9166666667</v>
      </c>
      <c r="D158" s="34">
        <f>'Rådata-K'!N157</f>
        <v>0.90648491224860095</v>
      </c>
      <c r="E158" s="34">
        <f>'Rådata-K'!O157</f>
        <v>-0.10399397136397892</v>
      </c>
      <c r="F158" s="34">
        <f>'Rådata-K'!P157</f>
        <v>9.4196804037005893E-2</v>
      </c>
      <c r="G158" s="34">
        <f>'Rådata-K'!Q157</f>
        <v>0.18334735071488645</v>
      </c>
      <c r="H158" s="34">
        <f>'Rådata-K'!R157</f>
        <v>-0.2142857142857143</v>
      </c>
      <c r="I158" s="34">
        <f>'Rådata-K'!S157</f>
        <v>0.85141158989598809</v>
      </c>
      <c r="J158" s="22">
        <f>'Rådata-K'!K157</f>
        <v>357300</v>
      </c>
      <c r="K158" s="22">
        <f>Tabell2[[#This Row],[NIBR11]]</f>
        <v>5</v>
      </c>
      <c r="L158" s="32">
        <f>IF(Tabell2[[#This Row],[ReisetidOslo]]&lt;=C$434,C$434,IF(Tabell2[[#This Row],[ReisetidOslo]]&gt;=C$435,C$435,Tabell2[[#This Row],[ReisetidOslo]]))</f>
        <v>223.9166666667</v>
      </c>
      <c r="M158" s="32">
        <f>IF(Tabell2[[#This Row],[Beftettotal]]&lt;=D$434,D$434,IF(Tabell2[[#This Row],[Beftettotal]]&gt;=D$435,D$435,Tabell2[[#This Row],[Beftettotal]]))</f>
        <v>1.3297721240876861</v>
      </c>
      <c r="N158" s="34">
        <f>IF(Tabell2[[#This Row],[Befvekst10]]&lt;=E$434,E$434,IF(Tabell2[[#This Row],[Befvekst10]]&gt;=E$435,E$435,Tabell2[[#This Row],[Befvekst10]]))</f>
        <v>-7.6196156394963507E-2</v>
      </c>
      <c r="O158" s="34">
        <f>IF(Tabell2[[#This Row],[Kvinneandel]]&lt;=F$434,F$434,IF(Tabell2[[#This Row],[Kvinneandel]]&gt;=F$435,F$435,Tabell2[[#This Row],[Kvinneandel]]))</f>
        <v>9.4196804037005893E-2</v>
      </c>
      <c r="P158" s="34">
        <f>IF(Tabell2[[#This Row],[Eldreandel]]&lt;=G$434,G$434,IF(Tabell2[[#This Row],[Eldreandel]]&gt;=G$435,G$435,Tabell2[[#This Row],[Eldreandel]]))</f>
        <v>0.18334735071488645</v>
      </c>
      <c r="Q158" s="34">
        <f>IF(Tabell2[[#This Row],[Sysselsettingsvekst10]]&lt;=H$434,H$434,IF(Tabell2[[#This Row],[Sysselsettingsvekst10]]&gt;=H$435,H$435,Tabell2[[#This Row],[Sysselsettingsvekst10]]))</f>
        <v>-6.9733479337269061E-2</v>
      </c>
      <c r="R158" s="34">
        <f>IF(Tabell2[[#This Row],[Yrkesaktivandel]]&lt;=I$434,I$434,IF(Tabell2[[#This Row],[Yrkesaktivandel]]&gt;=I$435,I$435,Tabell2[[#This Row],[Yrkesaktivandel]]))</f>
        <v>0.85141158989598809</v>
      </c>
      <c r="S158" s="22">
        <f>IF(Tabell2[[#This Row],[Inntekt]]&lt;=J$434,J$434,IF(Tabell2[[#This Row],[Inntekt]]&gt;=J$435,J$435,Tabell2[[#This Row],[Inntekt]]))</f>
        <v>357300</v>
      </c>
      <c r="T158" s="22">
        <f>IF(Tabell2[[#This Row],[NIBR11-T]]&lt;=K$437,100,IF(Tabell2[[#This Row],[NIBR11-T]]&gt;=K$436,0,100*(K$436-Tabell2[[#This Row],[NIBR11-T]])/K$439))</f>
        <v>60</v>
      </c>
      <c r="U158" s="7">
        <f>IF(Tabell2[[#This Row],[ReisetidOslo-T]]&lt;=L$437,100,IF(Tabell2[[#This Row],[ReisetidOslo-T]]&gt;=L$436,0,100*(L$436-Tabell2[[#This Row],[ReisetidOslo-T]])/L$439))</f>
        <v>24.807312614252673</v>
      </c>
      <c r="V158" s="7">
        <f>100-(M$436-Tabell2[[#This Row],[Beftettotal-T]])*100/M$439</f>
        <v>0</v>
      </c>
      <c r="W158" s="7">
        <f>100-(N$436-Tabell2[[#This Row],[Befvekst10-T]])*100/N$439</f>
        <v>0</v>
      </c>
      <c r="X158" s="7">
        <f>100-(O$436-Tabell2[[#This Row],[Kvinneandel-T]])*100/O$439</f>
        <v>9.7946400456955587</v>
      </c>
      <c r="Y158" s="7">
        <f>(P$436-Tabell2[[#This Row],[Eldreandel-T]])*100/P$439</f>
        <v>34.009485511527885</v>
      </c>
      <c r="Z158" s="7">
        <f>100-(Q$436-Tabell2[[#This Row],[Sysselsettingsvekst10-T]])*100/Q$439</f>
        <v>0</v>
      </c>
      <c r="AA158" s="7">
        <f>100-(R$436-Tabell2[[#This Row],[Yrkesaktivandel-T]])*100/R$439</f>
        <v>14.944227294502298</v>
      </c>
      <c r="AB158" s="7">
        <f>100-(S$436-Tabell2[[#This Row],[Inntekt-T]])*100/S$439</f>
        <v>29.78871604364987</v>
      </c>
      <c r="AC158" s="55">
        <f>Tabell2[[#This Row],[NIBR11-I]]*Vekter!$B$3</f>
        <v>12</v>
      </c>
      <c r="AD158" s="55">
        <f>Tabell2[[#This Row],[ReisetidOslo-I]]*Vekter!$C$3</f>
        <v>2.4807312614252677</v>
      </c>
      <c r="AE158" s="55">
        <f>Tabell2[[#This Row],[Beftettotal-I]]*Vekter!$D$3</f>
        <v>0</v>
      </c>
      <c r="AF158" s="55">
        <f>Tabell2[[#This Row],[Befvekst10-I]]*Vekter!$E$3</f>
        <v>0</v>
      </c>
      <c r="AG158" s="55">
        <f>Tabell2[[#This Row],[Kvinneandel-I]]*Vekter!$F$3</f>
        <v>0.48973200228477798</v>
      </c>
      <c r="AH158" s="55">
        <f>Tabell2[[#This Row],[Eldreandel-I]]*Vekter!$G$3</f>
        <v>1.7004742755763944</v>
      </c>
      <c r="AI158" s="55">
        <f>Tabell2[[#This Row],[Sysselsettingsvekst10-I]]*Vekter!$H$3</f>
        <v>0</v>
      </c>
      <c r="AJ158" s="55">
        <f>Tabell2[[#This Row],[Yrkesaktivandel-I]]*Vekter!$J$3</f>
        <v>1.4944227294502299</v>
      </c>
      <c r="AK158" s="55">
        <f>Tabell2[[#This Row],[Inntekt-I]]*Vekter!$L$3</f>
        <v>2.9788716043649872</v>
      </c>
      <c r="AL158" s="56">
        <f>SUM(Tabell2[[#This Row],[NIBR11-v]:[Inntekt-v]])</f>
        <v>21.144231873101656</v>
      </c>
    </row>
    <row r="159" spans="1:38" x14ac:dyDescent="0.25">
      <c r="A159" s="2" t="s">
        <v>156</v>
      </c>
      <c r="B159">
        <f>'Rådata-K'!M158</f>
        <v>11</v>
      </c>
      <c r="C159" s="7">
        <f>'Rådata-K'!L158</f>
        <v>222.08333333300001</v>
      </c>
      <c r="D159" s="34">
        <f>'Rådata-K'!N158</f>
        <v>0.98869051852905621</v>
      </c>
      <c r="E159" s="34">
        <f>'Rådata-K'!O158</f>
        <v>-9.6098265895953716E-2</v>
      </c>
      <c r="F159" s="34">
        <f>'Rådata-K'!P158</f>
        <v>9.7521982414068745E-2</v>
      </c>
      <c r="G159" s="34">
        <f>'Rådata-K'!Q158</f>
        <v>0.16626698641087131</v>
      </c>
      <c r="H159" s="34">
        <f>'Rådata-K'!R158</f>
        <v>3.1509121061359835E-2</v>
      </c>
      <c r="I159" s="34">
        <f>'Rådata-K'!S158</f>
        <v>0.93570451436388513</v>
      </c>
      <c r="J159" s="22">
        <f>'Rådata-K'!K158</f>
        <v>379400</v>
      </c>
      <c r="K159" s="22">
        <f>Tabell2[[#This Row],[NIBR11]]</f>
        <v>11</v>
      </c>
      <c r="L159" s="32">
        <f>IF(Tabell2[[#This Row],[ReisetidOslo]]&lt;=C$434,C$434,IF(Tabell2[[#This Row],[ReisetidOslo]]&gt;=C$435,C$435,Tabell2[[#This Row],[ReisetidOslo]]))</f>
        <v>222.08333333300001</v>
      </c>
      <c r="M159" s="32">
        <f>IF(Tabell2[[#This Row],[Beftettotal]]&lt;=D$434,D$434,IF(Tabell2[[#This Row],[Beftettotal]]&gt;=D$435,D$435,Tabell2[[#This Row],[Beftettotal]]))</f>
        <v>1.3297721240876861</v>
      </c>
      <c r="N159" s="34">
        <f>IF(Tabell2[[#This Row],[Befvekst10]]&lt;=E$434,E$434,IF(Tabell2[[#This Row],[Befvekst10]]&gt;=E$435,E$435,Tabell2[[#This Row],[Befvekst10]]))</f>
        <v>-7.6196156394963507E-2</v>
      </c>
      <c r="O159" s="34">
        <f>IF(Tabell2[[#This Row],[Kvinneandel]]&lt;=F$434,F$434,IF(Tabell2[[#This Row],[Kvinneandel]]&gt;=F$435,F$435,Tabell2[[#This Row],[Kvinneandel]]))</f>
        <v>9.7521982414068745E-2</v>
      </c>
      <c r="P159" s="34">
        <f>IF(Tabell2[[#This Row],[Eldreandel]]&lt;=G$434,G$434,IF(Tabell2[[#This Row],[Eldreandel]]&gt;=G$435,G$435,Tabell2[[#This Row],[Eldreandel]]))</f>
        <v>0.16626698641087131</v>
      </c>
      <c r="Q159" s="34">
        <f>IF(Tabell2[[#This Row],[Sysselsettingsvekst10]]&lt;=H$434,H$434,IF(Tabell2[[#This Row],[Sysselsettingsvekst10]]&gt;=H$435,H$435,Tabell2[[#This Row],[Sysselsettingsvekst10]]))</f>
        <v>3.1509121061359835E-2</v>
      </c>
      <c r="R159" s="34">
        <f>IF(Tabell2[[#This Row],[Yrkesaktivandel]]&lt;=I$434,I$434,IF(Tabell2[[#This Row],[Yrkesaktivandel]]&gt;=I$435,I$435,Tabell2[[#This Row],[Yrkesaktivandel]]))</f>
        <v>0.93570451436388513</v>
      </c>
      <c r="S159" s="22">
        <f>IF(Tabell2[[#This Row],[Inntekt]]&lt;=J$434,J$434,IF(Tabell2[[#This Row],[Inntekt]]&gt;=J$435,J$435,Tabell2[[#This Row],[Inntekt]]))</f>
        <v>379400</v>
      </c>
      <c r="T159" s="22">
        <f>IF(Tabell2[[#This Row],[NIBR11-T]]&lt;=K$437,100,IF(Tabell2[[#This Row],[NIBR11-T]]&gt;=K$436,0,100*(K$436-Tabell2[[#This Row],[NIBR11-T]])/K$439))</f>
        <v>0</v>
      </c>
      <c r="U159" s="7">
        <f>IF(Tabell2[[#This Row],[ReisetidOslo-T]]&lt;=L$437,100,IF(Tabell2[[#This Row],[ReisetidOslo-T]]&gt;=L$436,0,100*(L$436-Tabell2[[#This Row],[ReisetidOslo-T]])/L$439))</f>
        <v>25.611700182969223</v>
      </c>
      <c r="V159" s="7">
        <f>100-(M$436-Tabell2[[#This Row],[Beftettotal-T]])*100/M$439</f>
        <v>0</v>
      </c>
      <c r="W159" s="7">
        <f>100-(N$436-Tabell2[[#This Row],[Befvekst10-T]])*100/N$439</f>
        <v>0</v>
      </c>
      <c r="X159" s="7">
        <f>100-(O$436-Tabell2[[#This Row],[Kvinneandel-T]])*100/O$439</f>
        <v>18.581362289217822</v>
      </c>
      <c r="Y159" s="7">
        <f>(P$436-Tabell2[[#This Row],[Eldreandel-T]])*100/P$439</f>
        <v>52.725327805819028</v>
      </c>
      <c r="Z159" s="7">
        <f>100-(Q$436-Tabell2[[#This Row],[Sysselsettingsvekst10-T]])*100/Q$439</f>
        <v>30.123814914112771</v>
      </c>
      <c r="AA159" s="7">
        <f>100-(R$436-Tabell2[[#This Row],[Yrkesaktivandel-T]])*100/R$439</f>
        <v>79.756361393458604</v>
      </c>
      <c r="AB159" s="7">
        <f>100-(S$436-Tabell2[[#This Row],[Inntekt-T]])*100/S$439</f>
        <v>55.444625029022518</v>
      </c>
      <c r="AC159" s="55">
        <f>Tabell2[[#This Row],[NIBR11-I]]*Vekter!$B$3</f>
        <v>0</v>
      </c>
      <c r="AD159" s="55">
        <f>Tabell2[[#This Row],[ReisetidOslo-I]]*Vekter!$C$3</f>
        <v>2.5611700182969224</v>
      </c>
      <c r="AE159" s="55">
        <f>Tabell2[[#This Row],[Beftettotal-I]]*Vekter!$D$3</f>
        <v>0</v>
      </c>
      <c r="AF159" s="55">
        <f>Tabell2[[#This Row],[Befvekst10-I]]*Vekter!$E$3</f>
        <v>0</v>
      </c>
      <c r="AG159" s="55">
        <f>Tabell2[[#This Row],[Kvinneandel-I]]*Vekter!$F$3</f>
        <v>0.9290681144608911</v>
      </c>
      <c r="AH159" s="55">
        <f>Tabell2[[#This Row],[Eldreandel-I]]*Vekter!$G$3</f>
        <v>2.6362663902909516</v>
      </c>
      <c r="AI159" s="55">
        <f>Tabell2[[#This Row],[Sysselsettingsvekst10-I]]*Vekter!$H$3</f>
        <v>3.0123814914112774</v>
      </c>
      <c r="AJ159" s="55">
        <f>Tabell2[[#This Row],[Yrkesaktivandel-I]]*Vekter!$J$3</f>
        <v>7.9756361393458608</v>
      </c>
      <c r="AK159" s="55">
        <f>Tabell2[[#This Row],[Inntekt-I]]*Vekter!$L$3</f>
        <v>5.5444625029022525</v>
      </c>
      <c r="AL159" s="56">
        <f>SUM(Tabell2[[#This Row],[NIBR11-v]:[Inntekt-v]])</f>
        <v>22.658984656708153</v>
      </c>
    </row>
    <row r="160" spans="1:38" x14ac:dyDescent="0.25">
      <c r="A160" s="2" t="s">
        <v>157</v>
      </c>
      <c r="B160">
        <f>'Rådata-K'!M159</f>
        <v>11</v>
      </c>
      <c r="C160" s="7">
        <f>'Rådata-K'!L159</f>
        <v>215.25</v>
      </c>
      <c r="D160" s="34">
        <f>'Rådata-K'!N159</f>
        <v>0.63593546584147276</v>
      </c>
      <c r="E160" s="34">
        <f>'Rådata-K'!O159</f>
        <v>8.8681446907817874E-2</v>
      </c>
      <c r="F160" s="34">
        <f>'Rådata-K'!P159</f>
        <v>0.13183279742765272</v>
      </c>
      <c r="G160" s="34">
        <f>'Rådata-K'!Q159</f>
        <v>0.10182207931404073</v>
      </c>
      <c r="H160" s="34">
        <f>'Rådata-K'!R159</f>
        <v>0.21666666666666656</v>
      </c>
      <c r="I160" s="34">
        <f>'Rådata-K'!S159</f>
        <v>0.94188034188034186</v>
      </c>
      <c r="J160" s="22">
        <f>'Rådata-K'!K159</f>
        <v>446100</v>
      </c>
      <c r="K160" s="22">
        <f>Tabell2[[#This Row],[NIBR11]]</f>
        <v>11</v>
      </c>
      <c r="L160" s="32">
        <f>IF(Tabell2[[#This Row],[ReisetidOslo]]&lt;=C$434,C$434,IF(Tabell2[[#This Row],[ReisetidOslo]]&gt;=C$435,C$435,Tabell2[[#This Row],[ReisetidOslo]]))</f>
        <v>215.25</v>
      </c>
      <c r="M160" s="32">
        <f>IF(Tabell2[[#This Row],[Beftettotal]]&lt;=D$434,D$434,IF(Tabell2[[#This Row],[Beftettotal]]&gt;=D$435,D$435,Tabell2[[#This Row],[Beftettotal]]))</f>
        <v>1.3297721240876861</v>
      </c>
      <c r="N160" s="34">
        <f>IF(Tabell2[[#This Row],[Befvekst10]]&lt;=E$434,E$434,IF(Tabell2[[#This Row],[Befvekst10]]&gt;=E$435,E$435,Tabell2[[#This Row],[Befvekst10]]))</f>
        <v>8.8681446907817874E-2</v>
      </c>
      <c r="O160" s="34">
        <f>IF(Tabell2[[#This Row],[Kvinneandel]]&lt;=F$434,F$434,IF(Tabell2[[#This Row],[Kvinneandel]]&gt;=F$435,F$435,Tabell2[[#This Row],[Kvinneandel]]))</f>
        <v>0.12833341426573511</v>
      </c>
      <c r="P160" s="34">
        <f>IF(Tabell2[[#This Row],[Eldreandel]]&lt;=G$434,G$434,IF(Tabell2[[#This Row],[Eldreandel]]&gt;=G$435,G$435,Tabell2[[#This Row],[Eldreandel]]))</f>
        <v>0.12312339657223466</v>
      </c>
      <c r="Q160" s="34">
        <f>IF(Tabell2[[#This Row],[Sysselsettingsvekst10]]&lt;=H$434,H$434,IF(Tabell2[[#This Row],[Sysselsettingsvekst10]]&gt;=H$435,H$435,Tabell2[[#This Row],[Sysselsettingsvekst10]]))</f>
        <v>0.21666666666666656</v>
      </c>
      <c r="R160" s="34">
        <f>IF(Tabell2[[#This Row],[Yrkesaktivandel]]&lt;=I$434,I$434,IF(Tabell2[[#This Row],[Yrkesaktivandel]]&gt;=I$435,I$435,Tabell2[[#This Row],[Yrkesaktivandel]]))</f>
        <v>0.94188034188034186</v>
      </c>
      <c r="S160" s="22">
        <f>IF(Tabell2[[#This Row],[Inntekt]]&lt;=J$434,J$434,IF(Tabell2[[#This Row],[Inntekt]]&gt;=J$435,J$435,Tabell2[[#This Row],[Inntekt]]))</f>
        <v>417780</v>
      </c>
      <c r="T160" s="22">
        <f>IF(Tabell2[[#This Row],[NIBR11-T]]&lt;=K$437,100,IF(Tabell2[[#This Row],[NIBR11-T]]&gt;=K$436,0,100*(K$436-Tabell2[[#This Row],[NIBR11-T]])/K$439))</f>
        <v>0</v>
      </c>
      <c r="U160" s="7">
        <f>IF(Tabell2[[#This Row],[ReisetidOslo-T]]&lt;=L$437,100,IF(Tabell2[[#This Row],[ReisetidOslo-T]]&gt;=L$436,0,100*(L$436-Tabell2[[#This Row],[ReisetidOslo-T]])/L$439))</f>
        <v>28.609872029257769</v>
      </c>
      <c r="V160" s="7">
        <f>100-(M$436-Tabell2[[#This Row],[Beftettotal-T]])*100/M$439</f>
        <v>0</v>
      </c>
      <c r="W160" s="7">
        <f>100-(N$436-Tabell2[[#This Row],[Befvekst10-T]])*100/N$439</f>
        <v>66.385750060272997</v>
      </c>
      <c r="X160" s="7">
        <f>100-(O$436-Tabell2[[#This Row],[Kvinneandel-T]])*100/O$439</f>
        <v>100</v>
      </c>
      <c r="Y160" s="7">
        <f>(P$436-Tabell2[[#This Row],[Eldreandel-T]])*100/P$439</f>
        <v>100</v>
      </c>
      <c r="Z160" s="7">
        <f>100-(Q$436-Tabell2[[#This Row],[Sysselsettingsvekst10-T]])*100/Q$439</f>
        <v>85.215758540653496</v>
      </c>
      <c r="AA160" s="7">
        <f>100-(R$436-Tabell2[[#This Row],[Yrkesaktivandel-T]])*100/R$439</f>
        <v>84.504904212388311</v>
      </c>
      <c r="AB160" s="7">
        <f>100-(S$436-Tabell2[[#This Row],[Inntekt-T]])*100/S$439</f>
        <v>100</v>
      </c>
      <c r="AC160" s="55">
        <f>Tabell2[[#This Row],[NIBR11-I]]*Vekter!$B$3</f>
        <v>0</v>
      </c>
      <c r="AD160" s="55">
        <f>Tabell2[[#This Row],[ReisetidOslo-I]]*Vekter!$C$3</f>
        <v>2.8609872029257772</v>
      </c>
      <c r="AE160" s="55">
        <f>Tabell2[[#This Row],[Beftettotal-I]]*Vekter!$D$3</f>
        <v>0</v>
      </c>
      <c r="AF160" s="55">
        <f>Tabell2[[#This Row],[Befvekst10-I]]*Vekter!$E$3</f>
        <v>13.2771500120546</v>
      </c>
      <c r="AG160" s="55">
        <f>Tabell2[[#This Row],[Kvinneandel-I]]*Vekter!$F$3</f>
        <v>5</v>
      </c>
      <c r="AH160" s="55">
        <f>Tabell2[[#This Row],[Eldreandel-I]]*Vekter!$G$3</f>
        <v>5</v>
      </c>
      <c r="AI160" s="55">
        <f>Tabell2[[#This Row],[Sysselsettingsvekst10-I]]*Vekter!$H$3</f>
        <v>8.5215758540653503</v>
      </c>
      <c r="AJ160" s="55">
        <f>Tabell2[[#This Row],[Yrkesaktivandel-I]]*Vekter!$J$3</f>
        <v>8.4504904212388308</v>
      </c>
      <c r="AK160" s="55">
        <f>Tabell2[[#This Row],[Inntekt-I]]*Vekter!$L$3</f>
        <v>10</v>
      </c>
      <c r="AL160" s="56">
        <f>SUM(Tabell2[[#This Row],[NIBR11-v]:[Inntekt-v]])</f>
        <v>53.110203490284555</v>
      </c>
    </row>
    <row r="161" spans="1:38" x14ac:dyDescent="0.25">
      <c r="A161" s="2" t="s">
        <v>158</v>
      </c>
      <c r="B161">
        <f>'Rådata-K'!M160</f>
        <v>2</v>
      </c>
      <c r="C161" s="7">
        <f>'Rådata-K'!L160</f>
        <v>158.8166666667</v>
      </c>
      <c r="D161" s="34">
        <f>'Rådata-K'!N160</f>
        <v>316.24896025460203</v>
      </c>
      <c r="E161" s="34">
        <f>'Rådata-K'!O160</f>
        <v>0.14960692030604994</v>
      </c>
      <c r="F161" s="34">
        <f>'Rådata-K'!P160</f>
        <v>0.13856551471765433</v>
      </c>
      <c r="G161" s="34">
        <f>'Rådata-K'!Q160</f>
        <v>0.12745008348009057</v>
      </c>
      <c r="H161" s="34">
        <f>'Rådata-K'!R160</f>
        <v>0.22196146534932293</v>
      </c>
      <c r="I161" s="34">
        <f>'Rådata-K'!S160</f>
        <v>0.83534910339565049</v>
      </c>
      <c r="J161" s="22">
        <f>'Rådata-K'!K160</f>
        <v>395800</v>
      </c>
      <c r="K161" s="22">
        <f>Tabell2[[#This Row],[NIBR11]]</f>
        <v>2</v>
      </c>
      <c r="L161" s="32">
        <f>IF(Tabell2[[#This Row],[ReisetidOslo]]&lt;=C$434,C$434,IF(Tabell2[[#This Row],[ReisetidOslo]]&gt;=C$435,C$435,Tabell2[[#This Row],[ReisetidOslo]]))</f>
        <v>158.8166666667</v>
      </c>
      <c r="M161" s="32">
        <f>IF(Tabell2[[#This Row],[Beftettotal]]&lt;=D$434,D$434,IF(Tabell2[[#This Row],[Beftettotal]]&gt;=D$435,D$435,Tabell2[[#This Row],[Beftettotal]]))</f>
        <v>130.60042534801397</v>
      </c>
      <c r="N161" s="34">
        <f>IF(Tabell2[[#This Row],[Befvekst10]]&lt;=E$434,E$434,IF(Tabell2[[#This Row],[Befvekst10]]&gt;=E$435,E$435,Tabell2[[#This Row],[Befvekst10]]))</f>
        <v>0.14960692030604994</v>
      </c>
      <c r="O161" s="34">
        <f>IF(Tabell2[[#This Row],[Kvinneandel]]&lt;=F$434,F$434,IF(Tabell2[[#This Row],[Kvinneandel]]&gt;=F$435,F$435,Tabell2[[#This Row],[Kvinneandel]]))</f>
        <v>0.12833341426573511</v>
      </c>
      <c r="P161" s="34">
        <f>IF(Tabell2[[#This Row],[Eldreandel]]&lt;=G$434,G$434,IF(Tabell2[[#This Row],[Eldreandel]]&gt;=G$435,G$435,Tabell2[[#This Row],[Eldreandel]]))</f>
        <v>0.12745008348009057</v>
      </c>
      <c r="Q161" s="34">
        <f>IF(Tabell2[[#This Row],[Sysselsettingsvekst10]]&lt;=H$434,H$434,IF(Tabell2[[#This Row],[Sysselsettingsvekst10]]&gt;=H$435,H$435,Tabell2[[#This Row],[Sysselsettingsvekst10]]))</f>
        <v>0.22196146534932293</v>
      </c>
      <c r="R161" s="34">
        <f>IF(Tabell2[[#This Row],[Yrkesaktivandel]]&lt;=I$434,I$434,IF(Tabell2[[#This Row],[Yrkesaktivandel]]&gt;=I$435,I$435,Tabell2[[#This Row],[Yrkesaktivandel]]))</f>
        <v>0.83534910339565049</v>
      </c>
      <c r="S161" s="22">
        <f>IF(Tabell2[[#This Row],[Inntekt]]&lt;=J$434,J$434,IF(Tabell2[[#This Row],[Inntekt]]&gt;=J$435,J$435,Tabell2[[#This Row],[Inntekt]]))</f>
        <v>395800</v>
      </c>
      <c r="T161" s="22">
        <f>IF(Tabell2[[#This Row],[NIBR11-T]]&lt;=K$437,100,IF(Tabell2[[#This Row],[NIBR11-T]]&gt;=K$436,0,100*(K$436-Tabell2[[#This Row],[NIBR11-T]])/K$439))</f>
        <v>90</v>
      </c>
      <c r="U161" s="7">
        <f>IF(Tabell2[[#This Row],[ReisetidOslo-T]]&lt;=L$437,100,IF(Tabell2[[#This Row],[ReisetidOslo-T]]&gt;=L$436,0,100*(L$436-Tabell2[[#This Row],[ReisetidOslo-T]])/L$439))</f>
        <v>53.370383912238779</v>
      </c>
      <c r="V161" s="7">
        <f>100-(M$436-Tabell2[[#This Row],[Beftettotal-T]])*100/M$439</f>
        <v>100</v>
      </c>
      <c r="W161" s="7">
        <f>100-(N$436-Tabell2[[#This Row],[Befvekst10-T]])*100/N$439</f>
        <v>90.916572732964141</v>
      </c>
      <c r="X161" s="7">
        <f>100-(O$436-Tabell2[[#This Row],[Kvinneandel-T]])*100/O$439</f>
        <v>100</v>
      </c>
      <c r="Y161" s="7">
        <f>(P$436-Tabell2[[#This Row],[Eldreandel-T]])*100/P$439</f>
        <v>95.259024433971248</v>
      </c>
      <c r="Z161" s="7">
        <f>100-(Q$436-Tabell2[[#This Row],[Sysselsettingsvekst10-T]])*100/Q$439</f>
        <v>86.791177730755507</v>
      </c>
      <c r="AA161" s="7">
        <f>100-(R$436-Tabell2[[#This Row],[Yrkesaktivandel-T]])*100/R$439</f>
        <v>2.5939139604449792</v>
      </c>
      <c r="AB161" s="7">
        <f>100-(S$436-Tabell2[[#This Row],[Inntekt-T]])*100/S$439</f>
        <v>74.483399117715351</v>
      </c>
      <c r="AC161" s="55">
        <f>Tabell2[[#This Row],[NIBR11-I]]*Vekter!$B$3</f>
        <v>18</v>
      </c>
      <c r="AD161" s="55">
        <f>Tabell2[[#This Row],[ReisetidOslo-I]]*Vekter!$C$3</f>
        <v>5.3370383912238779</v>
      </c>
      <c r="AE161" s="55">
        <f>Tabell2[[#This Row],[Beftettotal-I]]*Vekter!$D$3</f>
        <v>10</v>
      </c>
      <c r="AF161" s="55">
        <f>Tabell2[[#This Row],[Befvekst10-I]]*Vekter!$E$3</f>
        <v>18.183314546592829</v>
      </c>
      <c r="AG161" s="55">
        <f>Tabell2[[#This Row],[Kvinneandel-I]]*Vekter!$F$3</f>
        <v>5</v>
      </c>
      <c r="AH161" s="55">
        <f>Tabell2[[#This Row],[Eldreandel-I]]*Vekter!$G$3</f>
        <v>4.7629512216985628</v>
      </c>
      <c r="AI161" s="55">
        <f>Tabell2[[#This Row],[Sysselsettingsvekst10-I]]*Vekter!$H$3</f>
        <v>8.6791177730755518</v>
      </c>
      <c r="AJ161" s="55">
        <f>Tabell2[[#This Row],[Yrkesaktivandel-I]]*Vekter!$J$3</f>
        <v>0.25939139604449796</v>
      </c>
      <c r="AK161" s="55">
        <f>Tabell2[[#This Row],[Inntekt-I]]*Vekter!$L$3</f>
        <v>7.4483399117715354</v>
      </c>
      <c r="AL161" s="56">
        <f>SUM(Tabell2[[#This Row],[NIBR11-v]:[Inntekt-v]])</f>
        <v>77.670153240406862</v>
      </c>
    </row>
    <row r="162" spans="1:38" x14ac:dyDescent="0.25">
      <c r="A162" s="2" t="s">
        <v>159</v>
      </c>
      <c r="B162">
        <f>'Rådata-K'!M161</f>
        <v>5</v>
      </c>
      <c r="C162" s="7">
        <f>'Rådata-K'!L161</f>
        <v>194.4</v>
      </c>
      <c r="D162" s="34">
        <f>'Rådata-K'!N161</f>
        <v>69.361071171818836</v>
      </c>
      <c r="E162" s="34">
        <f>'Rådata-K'!O161</f>
        <v>0.10185581727337611</v>
      </c>
      <c r="F162" s="34">
        <f>'Rådata-K'!P161</f>
        <v>0.12152620327783896</v>
      </c>
      <c r="G162" s="34">
        <f>'Rådata-K'!Q161</f>
        <v>0.14555937034397876</v>
      </c>
      <c r="H162" s="34">
        <f>'Rådata-K'!R161</f>
        <v>0.1076950105411103</v>
      </c>
      <c r="I162" s="34">
        <f>'Rådata-K'!S161</f>
        <v>0.83876461905302602</v>
      </c>
      <c r="J162" s="22">
        <f>'Rådata-K'!K161</f>
        <v>376300</v>
      </c>
      <c r="K162" s="22">
        <f>Tabell2[[#This Row],[NIBR11]]</f>
        <v>5</v>
      </c>
      <c r="L162" s="32">
        <f>IF(Tabell2[[#This Row],[ReisetidOslo]]&lt;=C$434,C$434,IF(Tabell2[[#This Row],[ReisetidOslo]]&gt;=C$435,C$435,Tabell2[[#This Row],[ReisetidOslo]]))</f>
        <v>194.4</v>
      </c>
      <c r="M162" s="32">
        <f>IF(Tabell2[[#This Row],[Beftettotal]]&lt;=D$434,D$434,IF(Tabell2[[#This Row],[Beftettotal]]&gt;=D$435,D$435,Tabell2[[#This Row],[Beftettotal]]))</f>
        <v>69.361071171818836</v>
      </c>
      <c r="N162" s="34">
        <f>IF(Tabell2[[#This Row],[Befvekst10]]&lt;=E$434,E$434,IF(Tabell2[[#This Row],[Befvekst10]]&gt;=E$435,E$435,Tabell2[[#This Row],[Befvekst10]]))</f>
        <v>0.10185581727337611</v>
      </c>
      <c r="O162" s="34">
        <f>IF(Tabell2[[#This Row],[Kvinneandel]]&lt;=F$434,F$434,IF(Tabell2[[#This Row],[Kvinneandel]]&gt;=F$435,F$435,Tabell2[[#This Row],[Kvinneandel]]))</f>
        <v>0.12152620327783896</v>
      </c>
      <c r="P162" s="34">
        <f>IF(Tabell2[[#This Row],[Eldreandel]]&lt;=G$434,G$434,IF(Tabell2[[#This Row],[Eldreandel]]&gt;=G$435,G$435,Tabell2[[#This Row],[Eldreandel]]))</f>
        <v>0.14555937034397876</v>
      </c>
      <c r="Q162" s="34">
        <f>IF(Tabell2[[#This Row],[Sysselsettingsvekst10]]&lt;=H$434,H$434,IF(Tabell2[[#This Row],[Sysselsettingsvekst10]]&gt;=H$435,H$435,Tabell2[[#This Row],[Sysselsettingsvekst10]]))</f>
        <v>0.1076950105411103</v>
      </c>
      <c r="R162" s="34">
        <f>IF(Tabell2[[#This Row],[Yrkesaktivandel]]&lt;=I$434,I$434,IF(Tabell2[[#This Row],[Yrkesaktivandel]]&gt;=I$435,I$435,Tabell2[[#This Row],[Yrkesaktivandel]]))</f>
        <v>0.83876461905302602</v>
      </c>
      <c r="S162" s="22">
        <f>IF(Tabell2[[#This Row],[Inntekt]]&lt;=J$434,J$434,IF(Tabell2[[#This Row],[Inntekt]]&gt;=J$435,J$435,Tabell2[[#This Row],[Inntekt]]))</f>
        <v>376300</v>
      </c>
      <c r="T162" s="22">
        <f>IF(Tabell2[[#This Row],[NIBR11-T]]&lt;=K$437,100,IF(Tabell2[[#This Row],[NIBR11-T]]&gt;=K$436,0,100*(K$436-Tabell2[[#This Row],[NIBR11-T]])/K$439))</f>
        <v>60</v>
      </c>
      <c r="U162" s="7">
        <f>IF(Tabell2[[#This Row],[ReisetidOslo-T]]&lt;=L$437,100,IF(Tabell2[[#This Row],[ReisetidOslo-T]]&gt;=L$436,0,100*(L$436-Tabell2[[#This Row],[ReisetidOslo-T]])/L$439))</f>
        <v>37.757952468013684</v>
      </c>
      <c r="V162" s="7">
        <f>100-(M$436-Tabell2[[#This Row],[Beftettotal-T]])*100/M$439</f>
        <v>52.627025044799147</v>
      </c>
      <c r="W162" s="7">
        <f>100-(N$436-Tabell2[[#This Row],[Befvekst10-T]])*100/N$439</f>
        <v>71.690233148150725</v>
      </c>
      <c r="X162" s="7">
        <f>100-(O$436-Tabell2[[#This Row],[Kvinneandel-T]])*100/O$439</f>
        <v>82.012071106835052</v>
      </c>
      <c r="Y162" s="7">
        <f>(P$436-Tabell2[[#This Row],[Eldreandel-T]])*100/P$439</f>
        <v>75.415738250260503</v>
      </c>
      <c r="Z162" s="7">
        <f>100-(Q$436-Tabell2[[#This Row],[Sysselsettingsvekst10-T]])*100/Q$439</f>
        <v>52.79223339327833</v>
      </c>
      <c r="AA162" s="7">
        <f>100-(R$436-Tabell2[[#This Row],[Yrkesaktivandel-T]])*100/R$439</f>
        <v>5.2200757670295417</v>
      </c>
      <c r="AB162" s="7">
        <f>100-(S$436-Tabell2[[#This Row],[Inntekt-T]])*100/S$439</f>
        <v>51.845832365915953</v>
      </c>
      <c r="AC162" s="55">
        <f>Tabell2[[#This Row],[NIBR11-I]]*Vekter!$B$3</f>
        <v>12</v>
      </c>
      <c r="AD162" s="55">
        <f>Tabell2[[#This Row],[ReisetidOslo-I]]*Vekter!$C$3</f>
        <v>3.7757952468013687</v>
      </c>
      <c r="AE162" s="55">
        <f>Tabell2[[#This Row],[Beftettotal-I]]*Vekter!$D$3</f>
        <v>5.2627025044799147</v>
      </c>
      <c r="AF162" s="55">
        <f>Tabell2[[#This Row],[Befvekst10-I]]*Vekter!$E$3</f>
        <v>14.338046629630146</v>
      </c>
      <c r="AG162" s="55">
        <f>Tabell2[[#This Row],[Kvinneandel-I]]*Vekter!$F$3</f>
        <v>4.1006035553417526</v>
      </c>
      <c r="AH162" s="55">
        <f>Tabell2[[#This Row],[Eldreandel-I]]*Vekter!$G$3</f>
        <v>3.7707869125130253</v>
      </c>
      <c r="AI162" s="55">
        <f>Tabell2[[#This Row],[Sysselsettingsvekst10-I]]*Vekter!$H$3</f>
        <v>5.2792233393278334</v>
      </c>
      <c r="AJ162" s="55">
        <f>Tabell2[[#This Row],[Yrkesaktivandel-I]]*Vekter!$J$3</f>
        <v>0.52200757670295417</v>
      </c>
      <c r="AK162" s="55">
        <f>Tabell2[[#This Row],[Inntekt-I]]*Vekter!$L$3</f>
        <v>5.184583236591596</v>
      </c>
      <c r="AL162" s="56">
        <f>SUM(Tabell2[[#This Row],[NIBR11-v]:[Inntekt-v]])</f>
        <v>54.233749001388588</v>
      </c>
    </row>
    <row r="163" spans="1:38" x14ac:dyDescent="0.25">
      <c r="A163" s="2" t="s">
        <v>160</v>
      </c>
      <c r="B163">
        <f>'Rådata-K'!M162</f>
        <v>6</v>
      </c>
      <c r="C163" s="7">
        <f>'Rådata-K'!L162</f>
        <v>231.8166666667</v>
      </c>
      <c r="D163" s="34">
        <f>'Rådata-K'!N162</f>
        <v>36.550620857774049</v>
      </c>
      <c r="E163" s="34">
        <f>'Rådata-K'!O162</f>
        <v>1.2343074163941425E-2</v>
      </c>
      <c r="F163" s="34">
        <f>'Rådata-K'!P162</f>
        <v>0.10744060025010421</v>
      </c>
      <c r="G163" s="34">
        <f>'Rådata-K'!Q162</f>
        <v>0.16756982075864943</v>
      </c>
      <c r="H163" s="34">
        <f>'Rådata-K'!R162</f>
        <v>1.9564140663694829E-2</v>
      </c>
      <c r="I163" s="34">
        <f>'Rådata-K'!S162</f>
        <v>0.91552511415525117</v>
      </c>
      <c r="J163" s="22">
        <f>'Rådata-K'!K162</f>
        <v>387300</v>
      </c>
      <c r="K163" s="22">
        <f>Tabell2[[#This Row],[NIBR11]]</f>
        <v>6</v>
      </c>
      <c r="L163" s="32">
        <f>IF(Tabell2[[#This Row],[ReisetidOslo]]&lt;=C$434,C$434,IF(Tabell2[[#This Row],[ReisetidOslo]]&gt;=C$435,C$435,Tabell2[[#This Row],[ReisetidOslo]]))</f>
        <v>231.8166666667</v>
      </c>
      <c r="M163" s="32">
        <f>IF(Tabell2[[#This Row],[Beftettotal]]&lt;=D$434,D$434,IF(Tabell2[[#This Row],[Beftettotal]]&gt;=D$435,D$435,Tabell2[[#This Row],[Beftettotal]]))</f>
        <v>36.550620857774049</v>
      </c>
      <c r="N163" s="34">
        <f>IF(Tabell2[[#This Row],[Befvekst10]]&lt;=E$434,E$434,IF(Tabell2[[#This Row],[Befvekst10]]&gt;=E$435,E$435,Tabell2[[#This Row],[Befvekst10]]))</f>
        <v>1.2343074163941425E-2</v>
      </c>
      <c r="O163" s="34">
        <f>IF(Tabell2[[#This Row],[Kvinneandel]]&lt;=F$434,F$434,IF(Tabell2[[#This Row],[Kvinneandel]]&gt;=F$435,F$435,Tabell2[[#This Row],[Kvinneandel]]))</f>
        <v>0.10744060025010421</v>
      </c>
      <c r="P163" s="34">
        <f>IF(Tabell2[[#This Row],[Eldreandel]]&lt;=G$434,G$434,IF(Tabell2[[#This Row],[Eldreandel]]&gt;=G$435,G$435,Tabell2[[#This Row],[Eldreandel]]))</f>
        <v>0.16756982075864943</v>
      </c>
      <c r="Q163" s="34">
        <f>IF(Tabell2[[#This Row],[Sysselsettingsvekst10]]&lt;=H$434,H$434,IF(Tabell2[[#This Row],[Sysselsettingsvekst10]]&gt;=H$435,H$435,Tabell2[[#This Row],[Sysselsettingsvekst10]]))</f>
        <v>1.9564140663694829E-2</v>
      </c>
      <c r="R163" s="34">
        <f>IF(Tabell2[[#This Row],[Yrkesaktivandel]]&lt;=I$434,I$434,IF(Tabell2[[#This Row],[Yrkesaktivandel]]&gt;=I$435,I$435,Tabell2[[#This Row],[Yrkesaktivandel]]))</f>
        <v>0.91552511415525117</v>
      </c>
      <c r="S163" s="22">
        <f>IF(Tabell2[[#This Row],[Inntekt]]&lt;=J$434,J$434,IF(Tabell2[[#This Row],[Inntekt]]&gt;=J$435,J$435,Tabell2[[#This Row],[Inntekt]]))</f>
        <v>387300</v>
      </c>
      <c r="T163" s="22">
        <f>IF(Tabell2[[#This Row],[NIBR11-T]]&lt;=K$437,100,IF(Tabell2[[#This Row],[NIBR11-T]]&gt;=K$436,0,100*(K$436-Tabell2[[#This Row],[NIBR11-T]])/K$439))</f>
        <v>50</v>
      </c>
      <c r="U163" s="7">
        <f>IF(Tabell2[[#This Row],[ReisetidOslo-T]]&lt;=L$437,100,IF(Tabell2[[#This Row],[ReisetidOslo-T]]&gt;=L$436,0,100*(L$436-Tabell2[[#This Row],[ReisetidOslo-T]])/L$439))</f>
        <v>21.341133455203668</v>
      </c>
      <c r="V163" s="7">
        <f>100-(M$436-Tabell2[[#This Row],[Beftettotal-T]])*100/M$439</f>
        <v>27.245819414771432</v>
      </c>
      <c r="W163" s="7">
        <f>100-(N$436-Tabell2[[#This Row],[Befvekst10-T]])*100/N$439</f>
        <v>35.649130704662511</v>
      </c>
      <c r="X163" s="7">
        <f>100-(O$436-Tabell2[[#This Row],[Kvinneandel-T]])*100/O$439</f>
        <v>44.791126122059588</v>
      </c>
      <c r="Y163" s="7">
        <f>(P$436-Tabell2[[#This Row],[Eldreandel-T]])*100/P$439</f>
        <v>51.297744543858457</v>
      </c>
      <c r="Z163" s="7">
        <f>100-(Q$436-Tabell2[[#This Row],[Sysselsettingsvekst10-T]])*100/Q$439</f>
        <v>26.569694640283473</v>
      </c>
      <c r="AA163" s="7">
        <f>100-(R$436-Tabell2[[#This Row],[Yrkesaktivandel-T]])*100/R$439</f>
        <v>64.240587078894478</v>
      </c>
      <c r="AB163" s="7">
        <f>100-(S$436-Tabell2[[#This Row],[Inntekt-T]])*100/S$439</f>
        <v>64.615741815648946</v>
      </c>
      <c r="AC163" s="55">
        <f>Tabell2[[#This Row],[NIBR11-I]]*Vekter!$B$3</f>
        <v>10</v>
      </c>
      <c r="AD163" s="55">
        <f>Tabell2[[#This Row],[ReisetidOslo-I]]*Vekter!$C$3</f>
        <v>2.1341133455203667</v>
      </c>
      <c r="AE163" s="55">
        <f>Tabell2[[#This Row],[Beftettotal-I]]*Vekter!$D$3</f>
        <v>2.7245819414771435</v>
      </c>
      <c r="AF163" s="55">
        <f>Tabell2[[#This Row],[Befvekst10-I]]*Vekter!$E$3</f>
        <v>7.1298261409325026</v>
      </c>
      <c r="AG163" s="55">
        <f>Tabell2[[#This Row],[Kvinneandel-I]]*Vekter!$F$3</f>
        <v>2.2395563061029793</v>
      </c>
      <c r="AH163" s="55">
        <f>Tabell2[[#This Row],[Eldreandel-I]]*Vekter!$G$3</f>
        <v>2.5648872271929228</v>
      </c>
      <c r="AI163" s="55">
        <f>Tabell2[[#This Row],[Sysselsettingsvekst10-I]]*Vekter!$H$3</f>
        <v>2.6569694640283474</v>
      </c>
      <c r="AJ163" s="55">
        <f>Tabell2[[#This Row],[Yrkesaktivandel-I]]*Vekter!$J$3</f>
        <v>6.424058707889448</v>
      </c>
      <c r="AK163" s="55">
        <f>Tabell2[[#This Row],[Inntekt-I]]*Vekter!$L$3</f>
        <v>6.4615741815648953</v>
      </c>
      <c r="AL163" s="56">
        <f>SUM(Tabell2[[#This Row],[NIBR11-v]:[Inntekt-v]])</f>
        <v>42.335567314708612</v>
      </c>
    </row>
    <row r="164" spans="1:38" x14ac:dyDescent="0.25">
      <c r="A164" s="2" t="s">
        <v>161</v>
      </c>
      <c r="B164">
        <f>'Rådata-K'!M163</f>
        <v>6</v>
      </c>
      <c r="C164" s="7">
        <f>'Rådata-K'!L163</f>
        <v>244.0833333333</v>
      </c>
      <c r="D164" s="34">
        <f>'Rådata-K'!N163</f>
        <v>16.68537155262819</v>
      </c>
      <c r="E164" s="34">
        <f>'Rådata-K'!O163</f>
        <v>2.1513854471727933E-2</v>
      </c>
      <c r="F164" s="34">
        <f>'Rådata-K'!P163</f>
        <v>0.10486271915315912</v>
      </c>
      <c r="G164" s="34">
        <f>'Rådata-K'!Q163</f>
        <v>0.17124269489469621</v>
      </c>
      <c r="H164" s="34">
        <f>'Rådata-K'!R163</f>
        <v>9.5077720207253913E-2</v>
      </c>
      <c r="I164" s="34">
        <f>'Rådata-K'!S163</f>
        <v>0.89720182575907914</v>
      </c>
      <c r="J164" s="22">
        <f>'Rådata-K'!K163</f>
        <v>389300</v>
      </c>
      <c r="K164" s="22">
        <f>Tabell2[[#This Row],[NIBR11]]</f>
        <v>6</v>
      </c>
      <c r="L164" s="32">
        <f>IF(Tabell2[[#This Row],[ReisetidOslo]]&lt;=C$434,C$434,IF(Tabell2[[#This Row],[ReisetidOslo]]&gt;=C$435,C$435,Tabell2[[#This Row],[ReisetidOslo]]))</f>
        <v>244.0833333333</v>
      </c>
      <c r="M164" s="32">
        <f>IF(Tabell2[[#This Row],[Beftettotal]]&lt;=D$434,D$434,IF(Tabell2[[#This Row],[Beftettotal]]&gt;=D$435,D$435,Tabell2[[#This Row],[Beftettotal]]))</f>
        <v>16.68537155262819</v>
      </c>
      <c r="N164" s="34">
        <f>IF(Tabell2[[#This Row],[Befvekst10]]&lt;=E$434,E$434,IF(Tabell2[[#This Row],[Befvekst10]]&gt;=E$435,E$435,Tabell2[[#This Row],[Befvekst10]]))</f>
        <v>2.1513854471727933E-2</v>
      </c>
      <c r="O164" s="34">
        <f>IF(Tabell2[[#This Row],[Kvinneandel]]&lt;=F$434,F$434,IF(Tabell2[[#This Row],[Kvinneandel]]&gt;=F$435,F$435,Tabell2[[#This Row],[Kvinneandel]]))</f>
        <v>0.10486271915315912</v>
      </c>
      <c r="P164" s="34">
        <f>IF(Tabell2[[#This Row],[Eldreandel]]&lt;=G$434,G$434,IF(Tabell2[[#This Row],[Eldreandel]]&gt;=G$435,G$435,Tabell2[[#This Row],[Eldreandel]]))</f>
        <v>0.17124269489469621</v>
      </c>
      <c r="Q164" s="34">
        <f>IF(Tabell2[[#This Row],[Sysselsettingsvekst10]]&lt;=H$434,H$434,IF(Tabell2[[#This Row],[Sysselsettingsvekst10]]&gt;=H$435,H$435,Tabell2[[#This Row],[Sysselsettingsvekst10]]))</f>
        <v>9.5077720207253913E-2</v>
      </c>
      <c r="R164" s="34">
        <f>IF(Tabell2[[#This Row],[Yrkesaktivandel]]&lt;=I$434,I$434,IF(Tabell2[[#This Row],[Yrkesaktivandel]]&gt;=I$435,I$435,Tabell2[[#This Row],[Yrkesaktivandel]]))</f>
        <v>0.89720182575907914</v>
      </c>
      <c r="S164" s="22">
        <f>IF(Tabell2[[#This Row],[Inntekt]]&lt;=J$434,J$434,IF(Tabell2[[#This Row],[Inntekt]]&gt;=J$435,J$435,Tabell2[[#This Row],[Inntekt]]))</f>
        <v>389300</v>
      </c>
      <c r="T164" s="22">
        <f>IF(Tabell2[[#This Row],[NIBR11-T]]&lt;=K$437,100,IF(Tabell2[[#This Row],[NIBR11-T]]&gt;=K$436,0,100*(K$436-Tabell2[[#This Row],[NIBR11-T]])/K$439))</f>
        <v>50</v>
      </c>
      <c r="U164" s="7">
        <f>IF(Tabell2[[#This Row],[ReisetidOslo-T]]&lt;=L$437,100,IF(Tabell2[[#This Row],[ReisetidOslo-T]]&gt;=L$436,0,100*(L$436-Tabell2[[#This Row],[ReisetidOslo-T]])/L$439))</f>
        <v>15.959049360169484</v>
      </c>
      <c r="V164" s="7">
        <f>100-(M$436-Tabell2[[#This Row],[Beftettotal-T]])*100/M$439</f>
        <v>11.878643021893836</v>
      </c>
      <c r="W164" s="7">
        <f>100-(N$436-Tabell2[[#This Row],[Befvekst10-T]])*100/N$439</f>
        <v>39.341622087208691</v>
      </c>
      <c r="X164" s="7">
        <f>100-(O$436-Tabell2[[#This Row],[Kvinneandel-T]])*100/O$439</f>
        <v>37.979123093310527</v>
      </c>
      <c r="Y164" s="7">
        <f>(P$436-Tabell2[[#This Row],[Eldreandel-T]])*100/P$439</f>
        <v>47.27318558987448</v>
      </c>
      <c r="Z164" s="7">
        <f>100-(Q$436-Tabell2[[#This Row],[Sysselsettingsvekst10-T]])*100/Q$439</f>
        <v>49.038073412813617</v>
      </c>
      <c r="AA164" s="7">
        <f>100-(R$436-Tabell2[[#This Row],[Yrkesaktivandel-T]])*100/R$439</f>
        <v>50.151961821636519</v>
      </c>
      <c r="AB164" s="7">
        <f>100-(S$436-Tabell2[[#This Row],[Inntekt-T]])*100/S$439</f>
        <v>66.937543533782218</v>
      </c>
      <c r="AC164" s="55">
        <f>Tabell2[[#This Row],[NIBR11-I]]*Vekter!$B$3</f>
        <v>10</v>
      </c>
      <c r="AD164" s="55">
        <f>Tabell2[[#This Row],[ReisetidOslo-I]]*Vekter!$C$3</f>
        <v>1.5959049360169484</v>
      </c>
      <c r="AE164" s="55">
        <f>Tabell2[[#This Row],[Beftettotal-I]]*Vekter!$D$3</f>
        <v>1.1878643021893838</v>
      </c>
      <c r="AF164" s="55">
        <f>Tabell2[[#This Row],[Befvekst10-I]]*Vekter!$E$3</f>
        <v>7.8683244174417384</v>
      </c>
      <c r="AG164" s="55">
        <f>Tabell2[[#This Row],[Kvinneandel-I]]*Vekter!$F$3</f>
        <v>1.8989561546655265</v>
      </c>
      <c r="AH164" s="55">
        <f>Tabell2[[#This Row],[Eldreandel-I]]*Vekter!$G$3</f>
        <v>2.3636592794937239</v>
      </c>
      <c r="AI164" s="55">
        <f>Tabell2[[#This Row],[Sysselsettingsvekst10-I]]*Vekter!$H$3</f>
        <v>4.9038073412813619</v>
      </c>
      <c r="AJ164" s="55">
        <f>Tabell2[[#This Row],[Yrkesaktivandel-I]]*Vekter!$J$3</f>
        <v>5.0151961821636526</v>
      </c>
      <c r="AK164" s="55">
        <f>Tabell2[[#This Row],[Inntekt-I]]*Vekter!$L$3</f>
        <v>6.693754353378222</v>
      </c>
      <c r="AL164" s="56">
        <f>SUM(Tabell2[[#This Row],[NIBR11-v]:[Inntekt-v]])</f>
        <v>41.527466966630556</v>
      </c>
    </row>
    <row r="165" spans="1:38" x14ac:dyDescent="0.25">
      <c r="A165" s="2" t="s">
        <v>162</v>
      </c>
      <c r="B165">
        <f>'Rådata-K'!M164</f>
        <v>2</v>
      </c>
      <c r="C165" s="7">
        <f>'Rådata-K'!L164</f>
        <v>158.61666666669998</v>
      </c>
      <c r="D165" s="34">
        <f>'Rådata-K'!N164</f>
        <v>36.660857804250007</v>
      </c>
      <c r="E165" s="34">
        <f>'Rådata-K'!O164</f>
        <v>0.1342238673855316</v>
      </c>
      <c r="F165" s="34">
        <f>'Rådata-K'!P164</f>
        <v>0.13338063142958495</v>
      </c>
      <c r="G165" s="34">
        <f>'Rådata-K'!Q164</f>
        <v>0.1245122383824051</v>
      </c>
      <c r="H165" s="34">
        <f>'Rådata-K'!R164</f>
        <v>0.10476190476190483</v>
      </c>
      <c r="I165" s="34">
        <f>'Rådata-K'!S164</f>
        <v>0.84044752523409949</v>
      </c>
      <c r="J165" s="22">
        <f>'Rådata-K'!K164</f>
        <v>358600</v>
      </c>
      <c r="K165" s="22">
        <f>Tabell2[[#This Row],[NIBR11]]</f>
        <v>2</v>
      </c>
      <c r="L165" s="32">
        <f>IF(Tabell2[[#This Row],[ReisetidOslo]]&lt;=C$434,C$434,IF(Tabell2[[#This Row],[ReisetidOslo]]&gt;=C$435,C$435,Tabell2[[#This Row],[ReisetidOslo]]))</f>
        <v>158.61666666669998</v>
      </c>
      <c r="M165" s="32">
        <f>IF(Tabell2[[#This Row],[Beftettotal]]&lt;=D$434,D$434,IF(Tabell2[[#This Row],[Beftettotal]]&gt;=D$435,D$435,Tabell2[[#This Row],[Beftettotal]]))</f>
        <v>36.660857804250007</v>
      </c>
      <c r="N165" s="34">
        <f>IF(Tabell2[[#This Row],[Befvekst10]]&lt;=E$434,E$434,IF(Tabell2[[#This Row],[Befvekst10]]&gt;=E$435,E$435,Tabell2[[#This Row],[Befvekst10]]))</f>
        <v>0.1342238673855316</v>
      </c>
      <c r="O165" s="34">
        <f>IF(Tabell2[[#This Row],[Kvinneandel]]&lt;=F$434,F$434,IF(Tabell2[[#This Row],[Kvinneandel]]&gt;=F$435,F$435,Tabell2[[#This Row],[Kvinneandel]]))</f>
        <v>0.12833341426573511</v>
      </c>
      <c r="P165" s="34">
        <f>IF(Tabell2[[#This Row],[Eldreandel]]&lt;=G$434,G$434,IF(Tabell2[[#This Row],[Eldreandel]]&gt;=G$435,G$435,Tabell2[[#This Row],[Eldreandel]]))</f>
        <v>0.1245122383824051</v>
      </c>
      <c r="Q165" s="34">
        <f>IF(Tabell2[[#This Row],[Sysselsettingsvekst10]]&lt;=H$434,H$434,IF(Tabell2[[#This Row],[Sysselsettingsvekst10]]&gt;=H$435,H$435,Tabell2[[#This Row],[Sysselsettingsvekst10]]))</f>
        <v>0.10476190476190483</v>
      </c>
      <c r="R165" s="34">
        <f>IF(Tabell2[[#This Row],[Yrkesaktivandel]]&lt;=I$434,I$434,IF(Tabell2[[#This Row],[Yrkesaktivandel]]&gt;=I$435,I$435,Tabell2[[#This Row],[Yrkesaktivandel]]))</f>
        <v>0.84044752523409949</v>
      </c>
      <c r="S165" s="22">
        <f>IF(Tabell2[[#This Row],[Inntekt]]&lt;=J$434,J$434,IF(Tabell2[[#This Row],[Inntekt]]&gt;=J$435,J$435,Tabell2[[#This Row],[Inntekt]]))</f>
        <v>358600</v>
      </c>
      <c r="T165" s="22">
        <f>IF(Tabell2[[#This Row],[NIBR11-T]]&lt;=K$437,100,IF(Tabell2[[#This Row],[NIBR11-T]]&gt;=K$436,0,100*(K$436-Tabell2[[#This Row],[NIBR11-T]])/K$439))</f>
        <v>90</v>
      </c>
      <c r="U165" s="7">
        <f>IF(Tabell2[[#This Row],[ReisetidOslo-T]]&lt;=L$437,100,IF(Tabell2[[#This Row],[ReisetidOslo-T]]&gt;=L$436,0,100*(L$436-Tabell2[[#This Row],[ReisetidOslo-T]])/L$439))</f>
        <v>53.458135283353954</v>
      </c>
      <c r="V165" s="7">
        <f>100-(M$436-Tabell2[[#This Row],[Beftettotal-T]])*100/M$439</f>
        <v>27.33109549540282</v>
      </c>
      <c r="W165" s="7">
        <f>100-(N$436-Tabell2[[#This Row],[Befvekst10-T]])*100/N$439</f>
        <v>84.722793311813035</v>
      </c>
      <c r="X165" s="7">
        <f>100-(O$436-Tabell2[[#This Row],[Kvinneandel-T]])*100/O$439</f>
        <v>100</v>
      </c>
      <c r="Y165" s="7">
        <f>(P$436-Tabell2[[#This Row],[Eldreandel-T]])*100/P$439</f>
        <v>98.478173894408243</v>
      </c>
      <c r="Z165" s="7">
        <f>100-(Q$436-Tabell2[[#This Row],[Sysselsettingsvekst10-T]])*100/Q$439</f>
        <v>51.919514446230259</v>
      </c>
      <c r="AA165" s="7">
        <f>100-(R$436-Tabell2[[#This Row],[Yrkesaktivandel-T]])*100/R$439</f>
        <v>6.5140484435290631</v>
      </c>
      <c r="AB165" s="7">
        <f>100-(S$436-Tabell2[[#This Row],[Inntekt-T]])*100/S$439</f>
        <v>31.297887160436503</v>
      </c>
      <c r="AC165" s="55">
        <f>Tabell2[[#This Row],[NIBR11-I]]*Vekter!$B$3</f>
        <v>18</v>
      </c>
      <c r="AD165" s="55">
        <f>Tabell2[[#This Row],[ReisetidOslo-I]]*Vekter!$C$3</f>
        <v>5.3458135283353956</v>
      </c>
      <c r="AE165" s="55">
        <f>Tabell2[[#This Row],[Beftettotal-I]]*Vekter!$D$3</f>
        <v>2.7331095495402824</v>
      </c>
      <c r="AF165" s="55">
        <f>Tabell2[[#This Row],[Befvekst10-I]]*Vekter!$E$3</f>
        <v>16.944558662362606</v>
      </c>
      <c r="AG165" s="55">
        <f>Tabell2[[#This Row],[Kvinneandel-I]]*Vekter!$F$3</f>
        <v>5</v>
      </c>
      <c r="AH165" s="55">
        <f>Tabell2[[#This Row],[Eldreandel-I]]*Vekter!$G$3</f>
        <v>4.9239086947204127</v>
      </c>
      <c r="AI165" s="55">
        <f>Tabell2[[#This Row],[Sysselsettingsvekst10-I]]*Vekter!$H$3</f>
        <v>5.1919514446230259</v>
      </c>
      <c r="AJ165" s="55">
        <f>Tabell2[[#This Row],[Yrkesaktivandel-I]]*Vekter!$J$3</f>
        <v>0.65140484435290635</v>
      </c>
      <c r="AK165" s="55">
        <f>Tabell2[[#This Row],[Inntekt-I]]*Vekter!$L$3</f>
        <v>3.1297887160436506</v>
      </c>
      <c r="AL165" s="56">
        <f>SUM(Tabell2[[#This Row],[NIBR11-v]:[Inntekt-v]])</f>
        <v>61.920535439978273</v>
      </c>
    </row>
    <row r="166" spans="1:38" x14ac:dyDescent="0.25">
      <c r="A166" s="2" t="s">
        <v>163</v>
      </c>
      <c r="B166">
        <f>'Rådata-K'!M165</f>
        <v>2</v>
      </c>
      <c r="C166" s="7">
        <f>'Rådata-K'!L165</f>
        <v>169.05</v>
      </c>
      <c r="D166" s="34">
        <f>'Rådata-K'!N165</f>
        <v>29.423477656865014</v>
      </c>
      <c r="E166" s="34">
        <f>'Rådata-K'!O165</f>
        <v>0.14362850971922247</v>
      </c>
      <c r="F166" s="34">
        <f>'Rådata-K'!P165</f>
        <v>0.13330185709789108</v>
      </c>
      <c r="G166" s="34">
        <f>'Rådata-K'!Q165</f>
        <v>0.12008183821214982</v>
      </c>
      <c r="H166" s="34">
        <f>'Rådata-K'!R165</f>
        <v>0.53921038399134669</v>
      </c>
      <c r="I166" s="34">
        <f>'Rådata-K'!S165</f>
        <v>0.83518267929634638</v>
      </c>
      <c r="J166" s="22">
        <f>'Rådata-K'!K165</f>
        <v>355000</v>
      </c>
      <c r="K166" s="22">
        <f>Tabell2[[#This Row],[NIBR11]]</f>
        <v>2</v>
      </c>
      <c r="L166" s="32">
        <f>IF(Tabell2[[#This Row],[ReisetidOslo]]&lt;=C$434,C$434,IF(Tabell2[[#This Row],[ReisetidOslo]]&gt;=C$435,C$435,Tabell2[[#This Row],[ReisetidOslo]]))</f>
        <v>169.05</v>
      </c>
      <c r="M166" s="32">
        <f>IF(Tabell2[[#This Row],[Beftettotal]]&lt;=D$434,D$434,IF(Tabell2[[#This Row],[Beftettotal]]&gt;=D$435,D$435,Tabell2[[#This Row],[Beftettotal]]))</f>
        <v>29.423477656865014</v>
      </c>
      <c r="N166" s="34">
        <f>IF(Tabell2[[#This Row],[Befvekst10]]&lt;=E$434,E$434,IF(Tabell2[[#This Row],[Befvekst10]]&gt;=E$435,E$435,Tabell2[[#This Row],[Befvekst10]]))</f>
        <v>0.14362850971922247</v>
      </c>
      <c r="O166" s="34">
        <f>IF(Tabell2[[#This Row],[Kvinneandel]]&lt;=F$434,F$434,IF(Tabell2[[#This Row],[Kvinneandel]]&gt;=F$435,F$435,Tabell2[[#This Row],[Kvinneandel]]))</f>
        <v>0.12833341426573511</v>
      </c>
      <c r="P166" s="34">
        <f>IF(Tabell2[[#This Row],[Eldreandel]]&lt;=G$434,G$434,IF(Tabell2[[#This Row],[Eldreandel]]&gt;=G$435,G$435,Tabell2[[#This Row],[Eldreandel]]))</f>
        <v>0.12312339657223466</v>
      </c>
      <c r="Q166" s="34">
        <f>IF(Tabell2[[#This Row],[Sysselsettingsvekst10]]&lt;=H$434,H$434,IF(Tabell2[[#This Row],[Sysselsettingsvekst10]]&gt;=H$435,H$435,Tabell2[[#This Row],[Sysselsettingsvekst10]]))</f>
        <v>0.26635476409167841</v>
      </c>
      <c r="R166" s="34">
        <f>IF(Tabell2[[#This Row],[Yrkesaktivandel]]&lt;=I$434,I$434,IF(Tabell2[[#This Row],[Yrkesaktivandel]]&gt;=I$435,I$435,Tabell2[[#This Row],[Yrkesaktivandel]]))</f>
        <v>0.83518267929634638</v>
      </c>
      <c r="S166" s="22">
        <f>IF(Tabell2[[#This Row],[Inntekt]]&lt;=J$434,J$434,IF(Tabell2[[#This Row],[Inntekt]]&gt;=J$435,J$435,Tabell2[[#This Row],[Inntekt]]))</f>
        <v>355000</v>
      </c>
      <c r="T166" s="22">
        <f>IF(Tabell2[[#This Row],[NIBR11-T]]&lt;=K$437,100,IF(Tabell2[[#This Row],[NIBR11-T]]&gt;=K$436,0,100*(K$436-Tabell2[[#This Row],[NIBR11-T]])/K$439))</f>
        <v>90</v>
      </c>
      <c r="U166" s="7">
        <f>IF(Tabell2[[#This Row],[ReisetidOslo-T]]&lt;=L$437,100,IF(Tabell2[[#This Row],[ReisetidOslo-T]]&gt;=L$436,0,100*(L$436-Tabell2[[#This Row],[ReisetidOslo-T]])/L$439))</f>
        <v>48.880438756860805</v>
      </c>
      <c r="V166" s="7">
        <f>100-(M$436-Tabell2[[#This Row],[Beftettotal-T]])*100/M$439</f>
        <v>21.732469692183429</v>
      </c>
      <c r="W166" s="7">
        <f>100-(N$436-Tabell2[[#This Row],[Befvekst10-T]])*100/N$439</f>
        <v>88.509446094629965</v>
      </c>
      <c r="X166" s="7">
        <f>100-(O$436-Tabell2[[#This Row],[Kvinneandel-T]])*100/O$439</f>
        <v>100</v>
      </c>
      <c r="Y166" s="7">
        <f>(P$436-Tabell2[[#This Row],[Eldreandel-T]])*100/P$439</f>
        <v>100</v>
      </c>
      <c r="Z166" s="7">
        <f>100-(Q$436-Tabell2[[#This Row],[Sysselsettingsvekst10-T]])*100/Q$439</f>
        <v>100</v>
      </c>
      <c r="AA166" s="7">
        <f>100-(R$436-Tabell2[[#This Row],[Yrkesaktivandel-T]])*100/R$439</f>
        <v>2.4659518437016743</v>
      </c>
      <c r="AB166" s="7">
        <f>100-(S$436-Tabell2[[#This Row],[Inntekt-T]])*100/S$439</f>
        <v>27.118644067796609</v>
      </c>
      <c r="AC166" s="55">
        <f>Tabell2[[#This Row],[NIBR11-I]]*Vekter!$B$3</f>
        <v>18</v>
      </c>
      <c r="AD166" s="55">
        <f>Tabell2[[#This Row],[ReisetidOslo-I]]*Vekter!$C$3</f>
        <v>4.8880438756860807</v>
      </c>
      <c r="AE166" s="55">
        <f>Tabell2[[#This Row],[Beftettotal-I]]*Vekter!$D$3</f>
        <v>2.1732469692183431</v>
      </c>
      <c r="AF166" s="55">
        <f>Tabell2[[#This Row],[Befvekst10-I]]*Vekter!$E$3</f>
        <v>17.701889218925995</v>
      </c>
      <c r="AG166" s="55">
        <f>Tabell2[[#This Row],[Kvinneandel-I]]*Vekter!$F$3</f>
        <v>5</v>
      </c>
      <c r="AH166" s="55">
        <f>Tabell2[[#This Row],[Eldreandel-I]]*Vekter!$G$3</f>
        <v>5</v>
      </c>
      <c r="AI166" s="55">
        <f>Tabell2[[#This Row],[Sysselsettingsvekst10-I]]*Vekter!$H$3</f>
        <v>10</v>
      </c>
      <c r="AJ166" s="55">
        <f>Tabell2[[#This Row],[Yrkesaktivandel-I]]*Vekter!$J$3</f>
        <v>0.24659518437016745</v>
      </c>
      <c r="AK166" s="55">
        <f>Tabell2[[#This Row],[Inntekt-I]]*Vekter!$L$3</f>
        <v>2.7118644067796609</v>
      </c>
      <c r="AL166" s="56">
        <f>SUM(Tabell2[[#This Row],[NIBR11-v]:[Inntekt-v]])</f>
        <v>65.721639654980237</v>
      </c>
    </row>
    <row r="167" spans="1:38" x14ac:dyDescent="0.25">
      <c r="A167" s="2" t="s">
        <v>164</v>
      </c>
      <c r="B167">
        <f>'Rådata-K'!M166</f>
        <v>2</v>
      </c>
      <c r="C167" s="7">
        <f>'Rådata-K'!L166</f>
        <v>171.1</v>
      </c>
      <c r="D167" s="34">
        <f>'Rådata-K'!N166</f>
        <v>74.157080523601749</v>
      </c>
      <c r="E167" s="34">
        <f>'Rådata-K'!O166</f>
        <v>0.17492405991410909</v>
      </c>
      <c r="F167" s="34">
        <f>'Rådata-K'!P166</f>
        <v>0.12142284033163947</v>
      </c>
      <c r="G167" s="34">
        <f>'Rådata-K'!Q166</f>
        <v>0.12525630739056789</v>
      </c>
      <c r="H167" s="34">
        <f>'Rådata-K'!R166</f>
        <v>0.25645438898450945</v>
      </c>
      <c r="I167" s="34">
        <f>'Rådata-K'!S166</f>
        <v>0.8617054263565892</v>
      </c>
      <c r="J167" s="22">
        <f>'Rådata-K'!K166</f>
        <v>395600</v>
      </c>
      <c r="K167" s="22">
        <f>Tabell2[[#This Row],[NIBR11]]</f>
        <v>2</v>
      </c>
      <c r="L167" s="32">
        <f>IF(Tabell2[[#This Row],[ReisetidOslo]]&lt;=C$434,C$434,IF(Tabell2[[#This Row],[ReisetidOslo]]&gt;=C$435,C$435,Tabell2[[#This Row],[ReisetidOslo]]))</f>
        <v>171.1</v>
      </c>
      <c r="M167" s="32">
        <f>IF(Tabell2[[#This Row],[Beftettotal]]&lt;=D$434,D$434,IF(Tabell2[[#This Row],[Beftettotal]]&gt;=D$435,D$435,Tabell2[[#This Row],[Beftettotal]]))</f>
        <v>74.157080523601749</v>
      </c>
      <c r="N167" s="34">
        <f>IF(Tabell2[[#This Row],[Befvekst10]]&lt;=E$434,E$434,IF(Tabell2[[#This Row],[Befvekst10]]&gt;=E$435,E$435,Tabell2[[#This Row],[Befvekst10]]))</f>
        <v>0.17216678769030419</v>
      </c>
      <c r="O167" s="34">
        <f>IF(Tabell2[[#This Row],[Kvinneandel]]&lt;=F$434,F$434,IF(Tabell2[[#This Row],[Kvinneandel]]&gt;=F$435,F$435,Tabell2[[#This Row],[Kvinneandel]]))</f>
        <v>0.12142284033163947</v>
      </c>
      <c r="P167" s="34">
        <f>IF(Tabell2[[#This Row],[Eldreandel]]&lt;=G$434,G$434,IF(Tabell2[[#This Row],[Eldreandel]]&gt;=G$435,G$435,Tabell2[[#This Row],[Eldreandel]]))</f>
        <v>0.12525630739056789</v>
      </c>
      <c r="Q167" s="34">
        <f>IF(Tabell2[[#This Row],[Sysselsettingsvekst10]]&lt;=H$434,H$434,IF(Tabell2[[#This Row],[Sysselsettingsvekst10]]&gt;=H$435,H$435,Tabell2[[#This Row],[Sysselsettingsvekst10]]))</f>
        <v>0.25645438898450945</v>
      </c>
      <c r="R167" s="34">
        <f>IF(Tabell2[[#This Row],[Yrkesaktivandel]]&lt;=I$434,I$434,IF(Tabell2[[#This Row],[Yrkesaktivandel]]&gt;=I$435,I$435,Tabell2[[#This Row],[Yrkesaktivandel]]))</f>
        <v>0.8617054263565892</v>
      </c>
      <c r="S167" s="22">
        <f>IF(Tabell2[[#This Row],[Inntekt]]&lt;=J$434,J$434,IF(Tabell2[[#This Row],[Inntekt]]&gt;=J$435,J$435,Tabell2[[#This Row],[Inntekt]]))</f>
        <v>395600</v>
      </c>
      <c r="T167" s="22">
        <f>IF(Tabell2[[#This Row],[NIBR11-T]]&lt;=K$437,100,IF(Tabell2[[#This Row],[NIBR11-T]]&gt;=K$436,0,100*(K$436-Tabell2[[#This Row],[NIBR11-T]])/K$439))</f>
        <v>90</v>
      </c>
      <c r="U167" s="7">
        <f>IF(Tabell2[[#This Row],[ReisetidOslo-T]]&lt;=L$437,100,IF(Tabell2[[#This Row],[ReisetidOslo-T]]&gt;=L$436,0,100*(L$436-Tabell2[[#This Row],[ReisetidOslo-T]])/L$439))</f>
        <v>47.980987202930372</v>
      </c>
      <c r="V167" s="7">
        <f>100-(M$436-Tabell2[[#This Row],[Beftettotal-T]])*100/M$439</f>
        <v>56.337077738255509</v>
      </c>
      <c r="W167" s="7">
        <f>100-(N$436-Tabell2[[#This Row],[Befvekst10-T]])*100/N$439</f>
        <v>100</v>
      </c>
      <c r="X167" s="7">
        <f>100-(O$436-Tabell2[[#This Row],[Kvinneandel-T]])*100/O$439</f>
        <v>81.738936436890128</v>
      </c>
      <c r="Y167" s="7">
        <f>(P$436-Tabell2[[#This Row],[Eldreandel-T]])*100/P$439</f>
        <v>97.662858836428427</v>
      </c>
      <c r="Z167" s="7">
        <f>100-(Q$436-Tabell2[[#This Row],[Sysselsettingsvekst10-T]])*100/Q$439</f>
        <v>97.054233434005255</v>
      </c>
      <c r="AA167" s="7">
        <f>100-(R$436-Tabell2[[#This Row],[Yrkesaktivandel-T]])*100/R$439</f>
        <v>22.859073211745269</v>
      </c>
      <c r="AB167" s="7">
        <f>100-(S$436-Tabell2[[#This Row],[Inntekt-T]])*100/S$439</f>
        <v>74.251218945902025</v>
      </c>
      <c r="AC167" s="55">
        <f>Tabell2[[#This Row],[NIBR11-I]]*Vekter!$B$3</f>
        <v>18</v>
      </c>
      <c r="AD167" s="55">
        <f>Tabell2[[#This Row],[ReisetidOslo-I]]*Vekter!$C$3</f>
        <v>4.7980987202930372</v>
      </c>
      <c r="AE167" s="55">
        <f>Tabell2[[#This Row],[Beftettotal-I]]*Vekter!$D$3</f>
        <v>5.6337077738255514</v>
      </c>
      <c r="AF167" s="55">
        <f>Tabell2[[#This Row],[Befvekst10-I]]*Vekter!$E$3</f>
        <v>20</v>
      </c>
      <c r="AG167" s="55">
        <f>Tabell2[[#This Row],[Kvinneandel-I]]*Vekter!$F$3</f>
        <v>4.0869468218445064</v>
      </c>
      <c r="AH167" s="55">
        <f>Tabell2[[#This Row],[Eldreandel-I]]*Vekter!$G$3</f>
        <v>4.8831429418214221</v>
      </c>
      <c r="AI167" s="55">
        <f>Tabell2[[#This Row],[Sysselsettingsvekst10-I]]*Vekter!$H$3</f>
        <v>9.7054233434005255</v>
      </c>
      <c r="AJ167" s="55">
        <f>Tabell2[[#This Row],[Yrkesaktivandel-I]]*Vekter!$J$3</f>
        <v>2.2859073211745269</v>
      </c>
      <c r="AK167" s="55">
        <f>Tabell2[[#This Row],[Inntekt-I]]*Vekter!$L$3</f>
        <v>7.4251218945902027</v>
      </c>
      <c r="AL167" s="56">
        <f>SUM(Tabell2[[#This Row],[NIBR11-v]:[Inntekt-v]])</f>
        <v>76.818348816949765</v>
      </c>
    </row>
    <row r="168" spans="1:38" x14ac:dyDescent="0.25">
      <c r="A168" s="2" t="s">
        <v>165</v>
      </c>
      <c r="B168">
        <f>'Rådata-K'!M167</f>
        <v>5</v>
      </c>
      <c r="C168" s="7">
        <f>'Rådata-K'!L167</f>
        <v>191.9333333333</v>
      </c>
      <c r="D168" s="34">
        <f>'Rådata-K'!N167</f>
        <v>5.8073008961571571</v>
      </c>
      <c r="E168" s="34">
        <f>'Rådata-K'!O167</f>
        <v>5.8606368251038266E-2</v>
      </c>
      <c r="F168" s="34">
        <f>'Rådata-K'!P167</f>
        <v>0.11682650392327812</v>
      </c>
      <c r="G168" s="34">
        <f>'Rådata-K'!Q167</f>
        <v>0.13077593722755013</v>
      </c>
      <c r="H168" s="34">
        <f>'Rådata-K'!R167</f>
        <v>-1.3869625520110951E-2</v>
      </c>
      <c r="I168" s="34">
        <f>'Rådata-K'!S167</f>
        <v>0.87224334600760456</v>
      </c>
      <c r="J168" s="22">
        <f>'Rådata-K'!K167</f>
        <v>353500</v>
      </c>
      <c r="K168" s="22">
        <f>Tabell2[[#This Row],[NIBR11]]</f>
        <v>5</v>
      </c>
      <c r="L168" s="32">
        <f>IF(Tabell2[[#This Row],[ReisetidOslo]]&lt;=C$434,C$434,IF(Tabell2[[#This Row],[ReisetidOslo]]&gt;=C$435,C$435,Tabell2[[#This Row],[ReisetidOslo]]))</f>
        <v>191.9333333333</v>
      </c>
      <c r="M168" s="32">
        <f>IF(Tabell2[[#This Row],[Beftettotal]]&lt;=D$434,D$434,IF(Tabell2[[#This Row],[Beftettotal]]&gt;=D$435,D$435,Tabell2[[#This Row],[Beftettotal]]))</f>
        <v>5.8073008961571571</v>
      </c>
      <c r="N168" s="34">
        <f>IF(Tabell2[[#This Row],[Befvekst10]]&lt;=E$434,E$434,IF(Tabell2[[#This Row],[Befvekst10]]&gt;=E$435,E$435,Tabell2[[#This Row],[Befvekst10]]))</f>
        <v>5.8606368251038266E-2</v>
      </c>
      <c r="O168" s="34">
        <f>IF(Tabell2[[#This Row],[Kvinneandel]]&lt;=F$434,F$434,IF(Tabell2[[#This Row],[Kvinneandel]]&gt;=F$435,F$435,Tabell2[[#This Row],[Kvinneandel]]))</f>
        <v>0.11682650392327812</v>
      </c>
      <c r="P168" s="34">
        <f>IF(Tabell2[[#This Row],[Eldreandel]]&lt;=G$434,G$434,IF(Tabell2[[#This Row],[Eldreandel]]&gt;=G$435,G$435,Tabell2[[#This Row],[Eldreandel]]))</f>
        <v>0.13077593722755013</v>
      </c>
      <c r="Q168" s="34">
        <f>IF(Tabell2[[#This Row],[Sysselsettingsvekst10]]&lt;=H$434,H$434,IF(Tabell2[[#This Row],[Sysselsettingsvekst10]]&gt;=H$435,H$435,Tabell2[[#This Row],[Sysselsettingsvekst10]]))</f>
        <v>-1.3869625520110951E-2</v>
      </c>
      <c r="R168" s="34">
        <f>IF(Tabell2[[#This Row],[Yrkesaktivandel]]&lt;=I$434,I$434,IF(Tabell2[[#This Row],[Yrkesaktivandel]]&gt;=I$435,I$435,Tabell2[[#This Row],[Yrkesaktivandel]]))</f>
        <v>0.87224334600760456</v>
      </c>
      <c r="S168" s="22">
        <f>IF(Tabell2[[#This Row],[Inntekt]]&lt;=J$434,J$434,IF(Tabell2[[#This Row],[Inntekt]]&gt;=J$435,J$435,Tabell2[[#This Row],[Inntekt]]))</f>
        <v>353500</v>
      </c>
      <c r="T168" s="22">
        <f>IF(Tabell2[[#This Row],[NIBR11-T]]&lt;=K$437,100,IF(Tabell2[[#This Row],[NIBR11-T]]&gt;=K$436,0,100*(K$436-Tabell2[[#This Row],[NIBR11-T]])/K$439))</f>
        <v>60</v>
      </c>
      <c r="U168" s="7">
        <f>IF(Tabell2[[#This Row],[ReisetidOslo-T]]&lt;=L$437,100,IF(Tabell2[[#This Row],[ReisetidOslo-T]]&gt;=L$436,0,100*(L$436-Tabell2[[#This Row],[ReisetidOslo-T]])/L$439))</f>
        <v>38.84021937844868</v>
      </c>
      <c r="V168" s="7">
        <f>100-(M$436-Tabell2[[#This Row],[Beftettotal-T]])*100/M$439</f>
        <v>3.4636854231047778</v>
      </c>
      <c r="W168" s="7">
        <f>100-(N$436-Tabell2[[#This Row],[Befvekst10-T]])*100/N$439</f>
        <v>54.276424022305648</v>
      </c>
      <c r="X168" s="7">
        <f>100-(O$436-Tabell2[[#This Row],[Kvinneandel-T]])*100/O$439</f>
        <v>69.593202651103368</v>
      </c>
      <c r="Y168" s="7">
        <f>(P$436-Tabell2[[#This Row],[Eldreandel-T]])*100/P$439</f>
        <v>91.614713743437676</v>
      </c>
      <c r="Z168" s="7">
        <f>100-(Q$436-Tabell2[[#This Row],[Sysselsettingsvekst10-T]])*100/Q$439</f>
        <v>16.621781603309287</v>
      </c>
      <c r="AA168" s="7">
        <f>100-(R$436-Tabell2[[#This Row],[Yrkesaktivandel-T]])*100/R$439</f>
        <v>30.961592680099344</v>
      </c>
      <c r="AB168" s="7">
        <f>100-(S$436-Tabell2[[#This Row],[Inntekt-T]])*100/S$439</f>
        <v>25.377292779196651</v>
      </c>
      <c r="AC168" s="55">
        <f>Tabell2[[#This Row],[NIBR11-I]]*Vekter!$B$3</f>
        <v>12</v>
      </c>
      <c r="AD168" s="55">
        <f>Tabell2[[#This Row],[ReisetidOslo-I]]*Vekter!$C$3</f>
        <v>3.8840219378448682</v>
      </c>
      <c r="AE168" s="55">
        <f>Tabell2[[#This Row],[Beftettotal-I]]*Vekter!$D$3</f>
        <v>0.34636854231047781</v>
      </c>
      <c r="AF168" s="55">
        <f>Tabell2[[#This Row],[Befvekst10-I]]*Vekter!$E$3</f>
        <v>10.85528480446113</v>
      </c>
      <c r="AG168" s="55">
        <f>Tabell2[[#This Row],[Kvinneandel-I]]*Vekter!$F$3</f>
        <v>3.4796601325551686</v>
      </c>
      <c r="AH168" s="55">
        <f>Tabell2[[#This Row],[Eldreandel-I]]*Vekter!$G$3</f>
        <v>4.5807356871718836</v>
      </c>
      <c r="AI168" s="55">
        <f>Tabell2[[#This Row],[Sysselsettingsvekst10-I]]*Vekter!$H$3</f>
        <v>1.6621781603309289</v>
      </c>
      <c r="AJ168" s="55">
        <f>Tabell2[[#This Row],[Yrkesaktivandel-I]]*Vekter!$J$3</f>
        <v>3.0961592680099344</v>
      </c>
      <c r="AK168" s="55">
        <f>Tabell2[[#This Row],[Inntekt-I]]*Vekter!$L$3</f>
        <v>2.5377292779196652</v>
      </c>
      <c r="AL168" s="56">
        <f>SUM(Tabell2[[#This Row],[NIBR11-v]:[Inntekt-v]])</f>
        <v>42.442137810604059</v>
      </c>
    </row>
    <row r="169" spans="1:38" x14ac:dyDescent="0.25">
      <c r="A169" s="2" t="s">
        <v>166</v>
      </c>
      <c r="B169">
        <f>'Rådata-K'!M168</f>
        <v>5</v>
      </c>
      <c r="C169" s="7">
        <f>'Rådata-K'!L168</f>
        <v>217.26666666670002</v>
      </c>
      <c r="D169" s="34">
        <f>'Rådata-K'!N168</f>
        <v>1.0422300342527493</v>
      </c>
      <c r="E169" s="34">
        <f>'Rådata-K'!O168</f>
        <v>1.9845644983461863E-2</v>
      </c>
      <c r="F169" s="34">
        <f>'Rådata-K'!P168</f>
        <v>9.9459459459459457E-2</v>
      </c>
      <c r="G169" s="34">
        <f>'Rådata-K'!Q168</f>
        <v>0.14270270270270272</v>
      </c>
      <c r="H169" s="34">
        <f>'Rådata-K'!R168</f>
        <v>0.33702882483370278</v>
      </c>
      <c r="I169" s="34">
        <f>'Rådata-K'!S168</f>
        <v>0.90097087378640772</v>
      </c>
      <c r="J169" s="22">
        <f>'Rådata-K'!K168</f>
        <v>368200</v>
      </c>
      <c r="K169" s="22">
        <f>Tabell2[[#This Row],[NIBR11]]</f>
        <v>5</v>
      </c>
      <c r="L169" s="32">
        <f>IF(Tabell2[[#This Row],[ReisetidOslo]]&lt;=C$434,C$434,IF(Tabell2[[#This Row],[ReisetidOslo]]&gt;=C$435,C$435,Tabell2[[#This Row],[ReisetidOslo]]))</f>
        <v>217.26666666670002</v>
      </c>
      <c r="M169" s="32">
        <f>IF(Tabell2[[#This Row],[Beftettotal]]&lt;=D$434,D$434,IF(Tabell2[[#This Row],[Beftettotal]]&gt;=D$435,D$435,Tabell2[[#This Row],[Beftettotal]]))</f>
        <v>1.3297721240876861</v>
      </c>
      <c r="N169" s="34">
        <f>IF(Tabell2[[#This Row],[Befvekst10]]&lt;=E$434,E$434,IF(Tabell2[[#This Row],[Befvekst10]]&gt;=E$435,E$435,Tabell2[[#This Row],[Befvekst10]]))</f>
        <v>1.9845644983461863E-2</v>
      </c>
      <c r="O169" s="34">
        <f>IF(Tabell2[[#This Row],[Kvinneandel]]&lt;=F$434,F$434,IF(Tabell2[[#This Row],[Kvinneandel]]&gt;=F$435,F$435,Tabell2[[#This Row],[Kvinneandel]]))</f>
        <v>9.9459459459459457E-2</v>
      </c>
      <c r="P169" s="34">
        <f>IF(Tabell2[[#This Row],[Eldreandel]]&lt;=G$434,G$434,IF(Tabell2[[#This Row],[Eldreandel]]&gt;=G$435,G$435,Tabell2[[#This Row],[Eldreandel]]))</f>
        <v>0.14270270270270272</v>
      </c>
      <c r="Q169" s="34">
        <f>IF(Tabell2[[#This Row],[Sysselsettingsvekst10]]&lt;=H$434,H$434,IF(Tabell2[[#This Row],[Sysselsettingsvekst10]]&gt;=H$435,H$435,Tabell2[[#This Row],[Sysselsettingsvekst10]]))</f>
        <v>0.26635476409167841</v>
      </c>
      <c r="R169" s="34">
        <f>IF(Tabell2[[#This Row],[Yrkesaktivandel]]&lt;=I$434,I$434,IF(Tabell2[[#This Row],[Yrkesaktivandel]]&gt;=I$435,I$435,Tabell2[[#This Row],[Yrkesaktivandel]]))</f>
        <v>0.90097087378640772</v>
      </c>
      <c r="S169" s="22">
        <f>IF(Tabell2[[#This Row],[Inntekt]]&lt;=J$434,J$434,IF(Tabell2[[#This Row],[Inntekt]]&gt;=J$435,J$435,Tabell2[[#This Row],[Inntekt]]))</f>
        <v>368200</v>
      </c>
      <c r="T169" s="22">
        <f>IF(Tabell2[[#This Row],[NIBR11-T]]&lt;=K$437,100,IF(Tabell2[[#This Row],[NIBR11-T]]&gt;=K$436,0,100*(K$436-Tabell2[[#This Row],[NIBR11-T]])/K$439))</f>
        <v>60</v>
      </c>
      <c r="U169" s="7">
        <f>IF(Tabell2[[#This Row],[ReisetidOslo-T]]&lt;=L$437,100,IF(Tabell2[[#This Row],[ReisetidOslo-T]]&gt;=L$436,0,100*(L$436-Tabell2[[#This Row],[ReisetidOslo-T]])/L$439))</f>
        <v>27.725045703831892</v>
      </c>
      <c r="V169" s="7">
        <f>100-(M$436-Tabell2[[#This Row],[Beftettotal-T]])*100/M$439</f>
        <v>0</v>
      </c>
      <c r="W169" s="7">
        <f>100-(N$436-Tabell2[[#This Row],[Befvekst10-T]])*100/N$439</f>
        <v>38.66993996715243</v>
      </c>
      <c r="X169" s="7">
        <f>100-(O$436-Tabell2[[#This Row],[Kvinneandel-T]])*100/O$439</f>
        <v>23.701109478866584</v>
      </c>
      <c r="Y169" s="7">
        <f>(P$436-Tabell2[[#This Row],[Eldreandel-T]])*100/P$439</f>
        <v>78.545937355484455</v>
      </c>
      <c r="Z169" s="7">
        <f>100-(Q$436-Tabell2[[#This Row],[Sysselsettingsvekst10-T]])*100/Q$439</f>
        <v>100</v>
      </c>
      <c r="AA169" s="7">
        <f>100-(R$436-Tabell2[[#This Row],[Yrkesaktivandel-T]])*100/R$439</f>
        <v>53.049951750383869</v>
      </c>
      <c r="AB169" s="7">
        <f>100-(S$436-Tabell2[[#This Row],[Inntekt-T]])*100/S$439</f>
        <v>42.4425354074762</v>
      </c>
      <c r="AC169" s="55">
        <f>Tabell2[[#This Row],[NIBR11-I]]*Vekter!$B$3</f>
        <v>12</v>
      </c>
      <c r="AD169" s="55">
        <f>Tabell2[[#This Row],[ReisetidOslo-I]]*Vekter!$C$3</f>
        <v>2.7725045703831892</v>
      </c>
      <c r="AE169" s="55">
        <f>Tabell2[[#This Row],[Beftettotal-I]]*Vekter!$D$3</f>
        <v>0</v>
      </c>
      <c r="AF169" s="55">
        <f>Tabell2[[#This Row],[Befvekst10-I]]*Vekter!$E$3</f>
        <v>7.7339879934304863</v>
      </c>
      <c r="AG169" s="55">
        <f>Tabell2[[#This Row],[Kvinneandel-I]]*Vekter!$F$3</f>
        <v>1.1850554739433292</v>
      </c>
      <c r="AH169" s="55">
        <f>Tabell2[[#This Row],[Eldreandel-I]]*Vekter!$G$3</f>
        <v>3.9272968677742228</v>
      </c>
      <c r="AI169" s="55">
        <f>Tabell2[[#This Row],[Sysselsettingsvekst10-I]]*Vekter!$H$3</f>
        <v>10</v>
      </c>
      <c r="AJ169" s="55">
        <f>Tabell2[[#This Row],[Yrkesaktivandel-I]]*Vekter!$J$3</f>
        <v>5.3049951750383872</v>
      </c>
      <c r="AK169" s="55">
        <f>Tabell2[[#This Row],[Inntekt-I]]*Vekter!$L$3</f>
        <v>4.2442535407476205</v>
      </c>
      <c r="AL169" s="56">
        <f>SUM(Tabell2[[#This Row],[NIBR11-v]:[Inntekt-v]])</f>
        <v>47.16809362131724</v>
      </c>
    </row>
    <row r="170" spans="1:38" x14ac:dyDescent="0.25">
      <c r="A170" s="2" t="s">
        <v>167</v>
      </c>
      <c r="B170">
        <f>'Rådata-K'!M169</f>
        <v>5</v>
      </c>
      <c r="C170" s="7">
        <f>'Rådata-K'!L169</f>
        <v>200.55</v>
      </c>
      <c r="D170" s="34">
        <f>'Rådata-K'!N169</f>
        <v>6.9596341220918667</v>
      </c>
      <c r="E170" s="34">
        <f>'Rådata-K'!O169</f>
        <v>0.11111111111111116</v>
      </c>
      <c r="F170" s="34">
        <f>'Rådata-K'!P169</f>
        <v>0.10971428571428571</v>
      </c>
      <c r="G170" s="34">
        <f>'Rådata-K'!Q169</f>
        <v>0.1462857142857143</v>
      </c>
      <c r="H170" s="34">
        <f>'Rådata-K'!R169</f>
        <v>8.744038155802869E-2</v>
      </c>
      <c r="I170" s="34">
        <f>'Rådata-K'!S169</f>
        <v>0.94842105263157894</v>
      </c>
      <c r="J170" s="22">
        <f>'Rådata-K'!K169</f>
        <v>372600</v>
      </c>
      <c r="K170" s="22">
        <f>Tabell2[[#This Row],[NIBR11]]</f>
        <v>5</v>
      </c>
      <c r="L170" s="32">
        <f>IF(Tabell2[[#This Row],[ReisetidOslo]]&lt;=C$434,C$434,IF(Tabell2[[#This Row],[ReisetidOslo]]&gt;=C$435,C$435,Tabell2[[#This Row],[ReisetidOslo]]))</f>
        <v>200.55</v>
      </c>
      <c r="M170" s="32">
        <f>IF(Tabell2[[#This Row],[Beftettotal]]&lt;=D$434,D$434,IF(Tabell2[[#This Row],[Beftettotal]]&gt;=D$435,D$435,Tabell2[[#This Row],[Beftettotal]]))</f>
        <v>6.9596341220918667</v>
      </c>
      <c r="N170" s="34">
        <f>IF(Tabell2[[#This Row],[Befvekst10]]&lt;=E$434,E$434,IF(Tabell2[[#This Row],[Befvekst10]]&gt;=E$435,E$435,Tabell2[[#This Row],[Befvekst10]]))</f>
        <v>0.11111111111111116</v>
      </c>
      <c r="O170" s="34">
        <f>IF(Tabell2[[#This Row],[Kvinneandel]]&lt;=F$434,F$434,IF(Tabell2[[#This Row],[Kvinneandel]]&gt;=F$435,F$435,Tabell2[[#This Row],[Kvinneandel]]))</f>
        <v>0.10971428571428571</v>
      </c>
      <c r="P170" s="34">
        <f>IF(Tabell2[[#This Row],[Eldreandel]]&lt;=G$434,G$434,IF(Tabell2[[#This Row],[Eldreandel]]&gt;=G$435,G$435,Tabell2[[#This Row],[Eldreandel]]))</f>
        <v>0.1462857142857143</v>
      </c>
      <c r="Q170" s="34">
        <f>IF(Tabell2[[#This Row],[Sysselsettingsvekst10]]&lt;=H$434,H$434,IF(Tabell2[[#This Row],[Sysselsettingsvekst10]]&gt;=H$435,H$435,Tabell2[[#This Row],[Sysselsettingsvekst10]]))</f>
        <v>8.744038155802869E-2</v>
      </c>
      <c r="R170" s="34">
        <f>IF(Tabell2[[#This Row],[Yrkesaktivandel]]&lt;=I$434,I$434,IF(Tabell2[[#This Row],[Yrkesaktivandel]]&gt;=I$435,I$435,Tabell2[[#This Row],[Yrkesaktivandel]]))</f>
        <v>0.94842105263157894</v>
      </c>
      <c r="S170" s="22">
        <f>IF(Tabell2[[#This Row],[Inntekt]]&lt;=J$434,J$434,IF(Tabell2[[#This Row],[Inntekt]]&gt;=J$435,J$435,Tabell2[[#This Row],[Inntekt]]))</f>
        <v>372600</v>
      </c>
      <c r="T170" s="22">
        <f>IF(Tabell2[[#This Row],[NIBR11-T]]&lt;=K$437,100,IF(Tabell2[[#This Row],[NIBR11-T]]&gt;=K$436,0,100*(K$436-Tabell2[[#This Row],[NIBR11-T]])/K$439))</f>
        <v>60</v>
      </c>
      <c r="U170" s="7">
        <f>IF(Tabell2[[#This Row],[ReisetidOslo-T]]&lt;=L$437,100,IF(Tabell2[[#This Row],[ReisetidOslo-T]]&gt;=L$436,0,100*(L$436-Tabell2[[#This Row],[ReisetidOslo-T]])/L$439))</f>
        <v>35.059597806222364</v>
      </c>
      <c r="V170" s="7">
        <f>100-(M$436-Tabell2[[#This Row],[Beftettotal-T]])*100/M$439</f>
        <v>4.3550967351050502</v>
      </c>
      <c r="W170" s="7">
        <f>100-(N$436-Tabell2[[#This Row],[Befvekst10-T]])*100/N$439</f>
        <v>75.416752767179531</v>
      </c>
      <c r="X170" s="7">
        <f>100-(O$436-Tabell2[[#This Row],[Kvinneandel-T]])*100/O$439</f>
        <v>50.799297828187328</v>
      </c>
      <c r="Y170" s="7">
        <f>(P$436-Tabell2[[#This Row],[Eldreandel-T]])*100/P$439</f>
        <v>74.619845468176194</v>
      </c>
      <c r="Z170" s="7">
        <f>100-(Q$436-Tabell2[[#This Row],[Sysselsettingsvekst10-T]])*100/Q$439</f>
        <v>46.765652761824725</v>
      </c>
      <c r="AA170" s="7">
        <f>100-(R$436-Tabell2[[#This Row],[Yrkesaktivandel-T]])*100/R$439</f>
        <v>89.534002739787397</v>
      </c>
      <c r="AB170" s="7">
        <f>100-(S$436-Tabell2[[#This Row],[Inntekt-T]])*100/S$439</f>
        <v>47.550499187369397</v>
      </c>
      <c r="AC170" s="55">
        <f>Tabell2[[#This Row],[NIBR11-I]]*Vekter!$B$3</f>
        <v>12</v>
      </c>
      <c r="AD170" s="55">
        <f>Tabell2[[#This Row],[ReisetidOslo-I]]*Vekter!$C$3</f>
        <v>3.5059597806222365</v>
      </c>
      <c r="AE170" s="55">
        <f>Tabell2[[#This Row],[Beftettotal-I]]*Vekter!$D$3</f>
        <v>0.43550967351050507</v>
      </c>
      <c r="AF170" s="55">
        <f>Tabell2[[#This Row],[Befvekst10-I]]*Vekter!$E$3</f>
        <v>15.083350553435906</v>
      </c>
      <c r="AG170" s="55">
        <f>Tabell2[[#This Row],[Kvinneandel-I]]*Vekter!$F$3</f>
        <v>2.5399648914093667</v>
      </c>
      <c r="AH170" s="55">
        <f>Tabell2[[#This Row],[Eldreandel-I]]*Vekter!$G$3</f>
        <v>3.7309922734088099</v>
      </c>
      <c r="AI170" s="55">
        <f>Tabell2[[#This Row],[Sysselsettingsvekst10-I]]*Vekter!$H$3</f>
        <v>4.6765652761824725</v>
      </c>
      <c r="AJ170" s="55">
        <f>Tabell2[[#This Row],[Yrkesaktivandel-I]]*Vekter!$J$3</f>
        <v>8.9534002739787404</v>
      </c>
      <c r="AK170" s="55">
        <f>Tabell2[[#This Row],[Inntekt-I]]*Vekter!$L$3</f>
        <v>4.7550499187369395</v>
      </c>
      <c r="AL170" s="56">
        <f>SUM(Tabell2[[#This Row],[NIBR11-v]:[Inntekt-v]])</f>
        <v>55.680792641284974</v>
      </c>
    </row>
    <row r="171" spans="1:38" x14ac:dyDescent="0.25">
      <c r="A171" s="2" t="s">
        <v>168</v>
      </c>
      <c r="B171">
        <f>'Rådata-K'!M170</f>
        <v>5</v>
      </c>
      <c r="C171" s="7">
        <f>'Rådata-K'!L170</f>
        <v>200.8166666667</v>
      </c>
      <c r="D171" s="34">
        <f>'Rådata-K'!N170</f>
        <v>15.44206062907411</v>
      </c>
      <c r="E171" s="34">
        <f>'Rådata-K'!O170</f>
        <v>8.8314005352363889E-2</v>
      </c>
      <c r="F171" s="34">
        <f>'Rådata-K'!P170</f>
        <v>0.11495901639344262</v>
      </c>
      <c r="G171" s="34">
        <f>'Rådata-K'!Q170</f>
        <v>0.15860655737704918</v>
      </c>
      <c r="H171" s="34">
        <f>'Rådata-K'!R170</f>
        <v>7.4702886247877798E-2</v>
      </c>
      <c r="I171" s="34">
        <f>'Rådata-K'!S170</f>
        <v>0.87936154417223455</v>
      </c>
      <c r="J171" s="22">
        <f>'Rådata-K'!K170</f>
        <v>354000</v>
      </c>
      <c r="K171" s="22">
        <f>Tabell2[[#This Row],[NIBR11]]</f>
        <v>5</v>
      </c>
      <c r="L171" s="32">
        <f>IF(Tabell2[[#This Row],[ReisetidOslo]]&lt;=C$434,C$434,IF(Tabell2[[#This Row],[ReisetidOslo]]&gt;=C$435,C$435,Tabell2[[#This Row],[ReisetidOslo]]))</f>
        <v>200.8166666667</v>
      </c>
      <c r="M171" s="32">
        <f>IF(Tabell2[[#This Row],[Beftettotal]]&lt;=D$434,D$434,IF(Tabell2[[#This Row],[Beftettotal]]&gt;=D$435,D$435,Tabell2[[#This Row],[Beftettotal]]))</f>
        <v>15.44206062907411</v>
      </c>
      <c r="N171" s="34">
        <f>IF(Tabell2[[#This Row],[Befvekst10]]&lt;=E$434,E$434,IF(Tabell2[[#This Row],[Befvekst10]]&gt;=E$435,E$435,Tabell2[[#This Row],[Befvekst10]]))</f>
        <v>8.8314005352363889E-2</v>
      </c>
      <c r="O171" s="34">
        <f>IF(Tabell2[[#This Row],[Kvinneandel]]&lt;=F$434,F$434,IF(Tabell2[[#This Row],[Kvinneandel]]&gt;=F$435,F$435,Tabell2[[#This Row],[Kvinneandel]]))</f>
        <v>0.11495901639344262</v>
      </c>
      <c r="P171" s="34">
        <f>IF(Tabell2[[#This Row],[Eldreandel]]&lt;=G$434,G$434,IF(Tabell2[[#This Row],[Eldreandel]]&gt;=G$435,G$435,Tabell2[[#This Row],[Eldreandel]]))</f>
        <v>0.15860655737704918</v>
      </c>
      <c r="Q171" s="34">
        <f>IF(Tabell2[[#This Row],[Sysselsettingsvekst10]]&lt;=H$434,H$434,IF(Tabell2[[#This Row],[Sysselsettingsvekst10]]&gt;=H$435,H$435,Tabell2[[#This Row],[Sysselsettingsvekst10]]))</f>
        <v>7.4702886247877798E-2</v>
      </c>
      <c r="R171" s="34">
        <f>IF(Tabell2[[#This Row],[Yrkesaktivandel]]&lt;=I$434,I$434,IF(Tabell2[[#This Row],[Yrkesaktivandel]]&gt;=I$435,I$435,Tabell2[[#This Row],[Yrkesaktivandel]]))</f>
        <v>0.87936154417223455</v>
      </c>
      <c r="S171" s="22">
        <f>IF(Tabell2[[#This Row],[Inntekt]]&lt;=J$434,J$434,IF(Tabell2[[#This Row],[Inntekt]]&gt;=J$435,J$435,Tabell2[[#This Row],[Inntekt]]))</f>
        <v>354000</v>
      </c>
      <c r="T171" s="22">
        <f>IF(Tabell2[[#This Row],[NIBR11-T]]&lt;=K$437,100,IF(Tabell2[[#This Row],[NIBR11-T]]&gt;=K$436,0,100*(K$436-Tabell2[[#This Row],[NIBR11-T]])/K$439))</f>
        <v>60</v>
      </c>
      <c r="U171" s="7">
        <f>IF(Tabell2[[#This Row],[ReisetidOslo-T]]&lt;=L$437,100,IF(Tabell2[[#This Row],[ReisetidOslo-T]]&gt;=L$436,0,100*(L$436-Tabell2[[#This Row],[ReisetidOslo-T]])/L$439))</f>
        <v>34.942595978054193</v>
      </c>
      <c r="V171" s="7">
        <f>100-(M$436-Tabell2[[#This Row],[Beftettotal-T]])*100/M$439</f>
        <v>10.916854021415602</v>
      </c>
      <c r="W171" s="7">
        <f>100-(N$436-Tabell2[[#This Row],[Befvekst10-T]])*100/N$439</f>
        <v>66.237804658511351</v>
      </c>
      <c r="X171" s="7">
        <f>100-(O$436-Tabell2[[#This Row],[Kvinneandel-T]])*100/O$439</f>
        <v>64.658401459354906</v>
      </c>
      <c r="Y171" s="7">
        <f>(P$436-Tabell2[[#This Row],[Eldreandel-T]])*100/P$439</f>
        <v>61.119257768420667</v>
      </c>
      <c r="Z171" s="7">
        <f>100-(Q$436-Tabell2[[#This Row],[Sysselsettingsvekst10-T]])*100/Q$439</f>
        <v>42.97572688396707</v>
      </c>
      <c r="AA171" s="7">
        <f>100-(R$436-Tabell2[[#This Row],[Yrkesaktivandel-T]])*100/R$439</f>
        <v>36.434716514646659</v>
      </c>
      <c r="AB171" s="7">
        <f>100-(S$436-Tabell2[[#This Row],[Inntekt-T]])*100/S$439</f>
        <v>25.95774320872998</v>
      </c>
      <c r="AC171" s="55">
        <f>Tabell2[[#This Row],[NIBR11-I]]*Vekter!$B$3</f>
        <v>12</v>
      </c>
      <c r="AD171" s="55">
        <f>Tabell2[[#This Row],[ReisetidOslo-I]]*Vekter!$C$3</f>
        <v>3.4942595978054194</v>
      </c>
      <c r="AE171" s="55">
        <f>Tabell2[[#This Row],[Beftettotal-I]]*Vekter!$D$3</f>
        <v>1.0916854021415603</v>
      </c>
      <c r="AF171" s="55">
        <f>Tabell2[[#This Row],[Befvekst10-I]]*Vekter!$E$3</f>
        <v>13.247560931702271</v>
      </c>
      <c r="AG171" s="55">
        <f>Tabell2[[#This Row],[Kvinneandel-I]]*Vekter!$F$3</f>
        <v>3.2329200729677456</v>
      </c>
      <c r="AH171" s="55">
        <f>Tabell2[[#This Row],[Eldreandel-I]]*Vekter!$G$3</f>
        <v>3.0559628884210337</v>
      </c>
      <c r="AI171" s="55">
        <f>Tabell2[[#This Row],[Sysselsettingsvekst10-I]]*Vekter!$H$3</f>
        <v>4.2975726883967074</v>
      </c>
      <c r="AJ171" s="55">
        <f>Tabell2[[#This Row],[Yrkesaktivandel-I]]*Vekter!$J$3</f>
        <v>3.6434716514646661</v>
      </c>
      <c r="AK171" s="55">
        <f>Tabell2[[#This Row],[Inntekt-I]]*Vekter!$L$3</f>
        <v>2.595774320872998</v>
      </c>
      <c r="AL171" s="56">
        <f>SUM(Tabell2[[#This Row],[NIBR11-v]:[Inntekt-v]])</f>
        <v>46.659207553772397</v>
      </c>
    </row>
    <row r="172" spans="1:38" x14ac:dyDescent="0.25">
      <c r="A172" s="2" t="s">
        <v>169</v>
      </c>
      <c r="B172">
        <f>'Rådata-K'!M171</f>
        <v>5</v>
      </c>
      <c r="C172" s="7">
        <f>'Rådata-K'!L171</f>
        <v>217.61666666669998</v>
      </c>
      <c r="D172" s="34">
        <f>'Rådata-K'!N171</f>
        <v>21.31005036688569</v>
      </c>
      <c r="E172" s="34">
        <f>'Rådata-K'!O171</f>
        <v>0.15060739922694655</v>
      </c>
      <c r="F172" s="34">
        <f>'Rådata-K'!P171</f>
        <v>0.12033593281343731</v>
      </c>
      <c r="G172" s="34">
        <f>'Rådata-K'!Q171</f>
        <v>0.12861427714457108</v>
      </c>
      <c r="H172" s="34">
        <f>'Rådata-K'!R171</f>
        <v>0.14434782608695662</v>
      </c>
      <c r="I172" s="34">
        <f>'Rådata-K'!S171</f>
        <v>0.89079461571862784</v>
      </c>
      <c r="J172" s="22">
        <f>'Rådata-K'!K171</f>
        <v>366700</v>
      </c>
      <c r="K172" s="22">
        <f>Tabell2[[#This Row],[NIBR11]]</f>
        <v>5</v>
      </c>
      <c r="L172" s="32">
        <f>IF(Tabell2[[#This Row],[ReisetidOslo]]&lt;=C$434,C$434,IF(Tabell2[[#This Row],[ReisetidOslo]]&gt;=C$435,C$435,Tabell2[[#This Row],[ReisetidOslo]]))</f>
        <v>217.61666666669998</v>
      </c>
      <c r="M172" s="32">
        <f>IF(Tabell2[[#This Row],[Beftettotal]]&lt;=D$434,D$434,IF(Tabell2[[#This Row],[Beftettotal]]&gt;=D$435,D$435,Tabell2[[#This Row],[Beftettotal]]))</f>
        <v>21.31005036688569</v>
      </c>
      <c r="N172" s="34">
        <f>IF(Tabell2[[#This Row],[Befvekst10]]&lt;=E$434,E$434,IF(Tabell2[[#This Row],[Befvekst10]]&gt;=E$435,E$435,Tabell2[[#This Row],[Befvekst10]]))</f>
        <v>0.15060739922694655</v>
      </c>
      <c r="O172" s="34">
        <f>IF(Tabell2[[#This Row],[Kvinneandel]]&lt;=F$434,F$434,IF(Tabell2[[#This Row],[Kvinneandel]]&gt;=F$435,F$435,Tabell2[[#This Row],[Kvinneandel]]))</f>
        <v>0.12033593281343731</v>
      </c>
      <c r="P172" s="34">
        <f>IF(Tabell2[[#This Row],[Eldreandel]]&lt;=G$434,G$434,IF(Tabell2[[#This Row],[Eldreandel]]&gt;=G$435,G$435,Tabell2[[#This Row],[Eldreandel]]))</f>
        <v>0.12861427714457108</v>
      </c>
      <c r="Q172" s="34">
        <f>IF(Tabell2[[#This Row],[Sysselsettingsvekst10]]&lt;=H$434,H$434,IF(Tabell2[[#This Row],[Sysselsettingsvekst10]]&gt;=H$435,H$435,Tabell2[[#This Row],[Sysselsettingsvekst10]]))</f>
        <v>0.14434782608695662</v>
      </c>
      <c r="R172" s="34">
        <f>IF(Tabell2[[#This Row],[Yrkesaktivandel]]&lt;=I$434,I$434,IF(Tabell2[[#This Row],[Yrkesaktivandel]]&gt;=I$435,I$435,Tabell2[[#This Row],[Yrkesaktivandel]]))</f>
        <v>0.89079461571862784</v>
      </c>
      <c r="S172" s="22">
        <f>IF(Tabell2[[#This Row],[Inntekt]]&lt;=J$434,J$434,IF(Tabell2[[#This Row],[Inntekt]]&gt;=J$435,J$435,Tabell2[[#This Row],[Inntekt]]))</f>
        <v>366700</v>
      </c>
      <c r="T172" s="22">
        <f>IF(Tabell2[[#This Row],[NIBR11-T]]&lt;=K$437,100,IF(Tabell2[[#This Row],[NIBR11-T]]&gt;=K$436,0,100*(K$436-Tabell2[[#This Row],[NIBR11-T]])/K$439))</f>
        <v>60</v>
      </c>
      <c r="U172" s="7">
        <f>IF(Tabell2[[#This Row],[ReisetidOslo-T]]&lt;=L$437,100,IF(Tabell2[[#This Row],[ReisetidOslo-T]]&gt;=L$436,0,100*(L$436-Tabell2[[#This Row],[ReisetidOslo-T]])/L$439))</f>
        <v>27.571480804380371</v>
      </c>
      <c r="V172" s="7">
        <f>100-(M$436-Tabell2[[#This Row],[Beftettotal-T]])*100/M$439</f>
        <v>15.456159417859212</v>
      </c>
      <c r="W172" s="7">
        <f>100-(N$436-Tabell2[[#This Row],[Befvekst10-T]])*100/N$439</f>
        <v>91.31940211823391</v>
      </c>
      <c r="X172" s="7">
        <f>100-(O$436-Tabell2[[#This Row],[Kvinneandel-T]])*100/O$439</f>
        <v>78.866803461192632</v>
      </c>
      <c r="Y172" s="7">
        <f>(P$436-Tabell2[[#This Row],[Eldreandel-T]])*100/P$439</f>
        <v>93.983356969471799</v>
      </c>
      <c r="Z172" s="7">
        <f>100-(Q$436-Tabell2[[#This Row],[Sysselsettingsvekst10-T]])*100/Q$439</f>
        <v>63.697945289622929</v>
      </c>
      <c r="AA172" s="7">
        <f>100-(R$436-Tabell2[[#This Row],[Yrkesaktivandel-T]])*100/R$439</f>
        <v>45.225510889209055</v>
      </c>
      <c r="AB172" s="7">
        <f>100-(S$436-Tabell2[[#This Row],[Inntekt-T]])*100/S$439</f>
        <v>40.701184118876249</v>
      </c>
      <c r="AC172" s="55">
        <f>Tabell2[[#This Row],[NIBR11-I]]*Vekter!$B$3</f>
        <v>12</v>
      </c>
      <c r="AD172" s="55">
        <f>Tabell2[[#This Row],[ReisetidOslo-I]]*Vekter!$C$3</f>
        <v>2.7571480804380375</v>
      </c>
      <c r="AE172" s="55">
        <f>Tabell2[[#This Row],[Beftettotal-I]]*Vekter!$D$3</f>
        <v>1.5456159417859212</v>
      </c>
      <c r="AF172" s="55">
        <f>Tabell2[[#This Row],[Befvekst10-I]]*Vekter!$E$3</f>
        <v>18.263880423646782</v>
      </c>
      <c r="AG172" s="55">
        <f>Tabell2[[#This Row],[Kvinneandel-I]]*Vekter!$F$3</f>
        <v>3.9433401730596316</v>
      </c>
      <c r="AH172" s="55">
        <f>Tabell2[[#This Row],[Eldreandel-I]]*Vekter!$G$3</f>
        <v>4.6991678484735901</v>
      </c>
      <c r="AI172" s="55">
        <f>Tabell2[[#This Row],[Sysselsettingsvekst10-I]]*Vekter!$H$3</f>
        <v>6.3697945289622933</v>
      </c>
      <c r="AJ172" s="55">
        <f>Tabell2[[#This Row],[Yrkesaktivandel-I]]*Vekter!$J$3</f>
        <v>4.5225510889209053</v>
      </c>
      <c r="AK172" s="55">
        <f>Tabell2[[#This Row],[Inntekt-I]]*Vekter!$L$3</f>
        <v>4.0701184118876252</v>
      </c>
      <c r="AL172" s="56">
        <f>SUM(Tabell2[[#This Row],[NIBR11-v]:[Inntekt-v]])</f>
        <v>58.171616497174789</v>
      </c>
    </row>
    <row r="173" spans="1:38" x14ac:dyDescent="0.25">
      <c r="A173" s="2" t="s">
        <v>170</v>
      </c>
      <c r="B173">
        <f>'Rådata-K'!M172</f>
        <v>5</v>
      </c>
      <c r="C173" s="7">
        <f>'Rådata-K'!L172</f>
        <v>212.61666666669998</v>
      </c>
      <c r="D173" s="34">
        <f>'Rådata-K'!N172</f>
        <v>3.6698242039321096</v>
      </c>
      <c r="E173" s="34">
        <f>'Rådata-K'!O172</f>
        <v>6.2107904642409117E-2</v>
      </c>
      <c r="F173" s="34">
        <f>'Rådata-K'!P172</f>
        <v>0.11222681630242173</v>
      </c>
      <c r="G173" s="34">
        <f>'Rådata-K'!Q172</f>
        <v>0.15062020082693445</v>
      </c>
      <c r="H173" s="34">
        <f>'Rådata-K'!R172</f>
        <v>0.21269296740994847</v>
      </c>
      <c r="I173" s="34">
        <f>'Rådata-K'!S172</f>
        <v>0.97046413502109707</v>
      </c>
      <c r="J173" s="22">
        <f>'Rådata-K'!K172</f>
        <v>383500</v>
      </c>
      <c r="K173" s="22">
        <f>Tabell2[[#This Row],[NIBR11]]</f>
        <v>5</v>
      </c>
      <c r="L173" s="32">
        <f>IF(Tabell2[[#This Row],[ReisetidOslo]]&lt;=C$434,C$434,IF(Tabell2[[#This Row],[ReisetidOslo]]&gt;=C$435,C$435,Tabell2[[#This Row],[ReisetidOslo]]))</f>
        <v>212.61666666669998</v>
      </c>
      <c r="M173" s="32">
        <f>IF(Tabell2[[#This Row],[Beftettotal]]&lt;=D$434,D$434,IF(Tabell2[[#This Row],[Beftettotal]]&gt;=D$435,D$435,Tabell2[[#This Row],[Beftettotal]]))</f>
        <v>3.6698242039321096</v>
      </c>
      <c r="N173" s="34">
        <f>IF(Tabell2[[#This Row],[Befvekst10]]&lt;=E$434,E$434,IF(Tabell2[[#This Row],[Befvekst10]]&gt;=E$435,E$435,Tabell2[[#This Row],[Befvekst10]]))</f>
        <v>6.2107904642409117E-2</v>
      </c>
      <c r="O173" s="34">
        <f>IF(Tabell2[[#This Row],[Kvinneandel]]&lt;=F$434,F$434,IF(Tabell2[[#This Row],[Kvinneandel]]&gt;=F$435,F$435,Tabell2[[#This Row],[Kvinneandel]]))</f>
        <v>0.11222681630242173</v>
      </c>
      <c r="P173" s="34">
        <f>IF(Tabell2[[#This Row],[Eldreandel]]&lt;=G$434,G$434,IF(Tabell2[[#This Row],[Eldreandel]]&gt;=G$435,G$435,Tabell2[[#This Row],[Eldreandel]]))</f>
        <v>0.15062020082693445</v>
      </c>
      <c r="Q173" s="34">
        <f>IF(Tabell2[[#This Row],[Sysselsettingsvekst10]]&lt;=H$434,H$434,IF(Tabell2[[#This Row],[Sysselsettingsvekst10]]&gt;=H$435,H$435,Tabell2[[#This Row],[Sysselsettingsvekst10]]))</f>
        <v>0.21269296740994847</v>
      </c>
      <c r="R173" s="34">
        <f>IF(Tabell2[[#This Row],[Yrkesaktivandel]]&lt;=I$434,I$434,IF(Tabell2[[#This Row],[Yrkesaktivandel]]&gt;=I$435,I$435,Tabell2[[#This Row],[Yrkesaktivandel]]))</f>
        <v>0.96203284815106216</v>
      </c>
      <c r="S173" s="22">
        <f>IF(Tabell2[[#This Row],[Inntekt]]&lt;=J$434,J$434,IF(Tabell2[[#This Row],[Inntekt]]&gt;=J$435,J$435,Tabell2[[#This Row],[Inntekt]]))</f>
        <v>383500</v>
      </c>
      <c r="T173" s="22">
        <f>IF(Tabell2[[#This Row],[NIBR11-T]]&lt;=K$437,100,IF(Tabell2[[#This Row],[NIBR11-T]]&gt;=K$436,0,100*(K$436-Tabell2[[#This Row],[NIBR11-T]])/K$439))</f>
        <v>60</v>
      </c>
      <c r="U173" s="7">
        <f>IF(Tabell2[[#This Row],[ReisetidOslo-T]]&lt;=L$437,100,IF(Tabell2[[#This Row],[ReisetidOslo-T]]&gt;=L$436,0,100*(L$436-Tabell2[[#This Row],[ReisetidOslo-T]])/L$439))</f>
        <v>29.765265082259486</v>
      </c>
      <c r="V173" s="7">
        <f>100-(M$436-Tabell2[[#This Row],[Beftettotal-T]])*100/M$439</f>
        <v>1.8101959118214523</v>
      </c>
      <c r="W173" s="7">
        <f>100-(N$436-Tabell2[[#This Row],[Befvekst10-T]])*100/N$439</f>
        <v>55.686270569368922</v>
      </c>
      <c r="X173" s="7">
        <f>100-(O$436-Tabell2[[#This Row],[Kvinneandel-T]])*100/O$439</f>
        <v>57.438613348398768</v>
      </c>
      <c r="Y173" s="7">
        <f>(P$436-Tabell2[[#This Row],[Eldreandel-T]])*100/P$439</f>
        <v>69.870323438769958</v>
      </c>
      <c r="Z173" s="7">
        <f>100-(Q$436-Tabell2[[#This Row],[Sysselsettingsvekst10-T]])*100/Q$439</f>
        <v>84.033420468908901</v>
      </c>
      <c r="AA173" s="7">
        <f>100-(R$436-Tabell2[[#This Row],[Yrkesaktivandel-T]])*100/R$439</f>
        <v>100</v>
      </c>
      <c r="AB173" s="7">
        <f>100-(S$436-Tabell2[[#This Row],[Inntekt-T]])*100/S$439</f>
        <v>60.204318551195726</v>
      </c>
      <c r="AC173" s="55">
        <f>Tabell2[[#This Row],[NIBR11-I]]*Vekter!$B$3</f>
        <v>12</v>
      </c>
      <c r="AD173" s="55">
        <f>Tabell2[[#This Row],[ReisetidOslo-I]]*Vekter!$C$3</f>
        <v>2.9765265082259487</v>
      </c>
      <c r="AE173" s="55">
        <f>Tabell2[[#This Row],[Beftettotal-I]]*Vekter!$D$3</f>
        <v>0.18101959118214525</v>
      </c>
      <c r="AF173" s="55">
        <f>Tabell2[[#This Row],[Befvekst10-I]]*Vekter!$E$3</f>
        <v>11.137254113873785</v>
      </c>
      <c r="AG173" s="55">
        <f>Tabell2[[#This Row],[Kvinneandel-I]]*Vekter!$F$3</f>
        <v>2.8719306674199387</v>
      </c>
      <c r="AH173" s="55">
        <f>Tabell2[[#This Row],[Eldreandel-I]]*Vekter!$G$3</f>
        <v>3.4935161719384982</v>
      </c>
      <c r="AI173" s="55">
        <f>Tabell2[[#This Row],[Sysselsettingsvekst10-I]]*Vekter!$H$3</f>
        <v>8.4033420468908897</v>
      </c>
      <c r="AJ173" s="55">
        <f>Tabell2[[#This Row],[Yrkesaktivandel-I]]*Vekter!$J$3</f>
        <v>10</v>
      </c>
      <c r="AK173" s="55">
        <f>Tabell2[[#This Row],[Inntekt-I]]*Vekter!$L$3</f>
        <v>6.0204318551195728</v>
      </c>
      <c r="AL173" s="56">
        <f>SUM(Tabell2[[#This Row],[NIBR11-v]:[Inntekt-v]])</f>
        <v>57.084020954650782</v>
      </c>
    </row>
    <row r="174" spans="1:38" x14ac:dyDescent="0.25">
      <c r="A174" s="2" t="s">
        <v>171</v>
      </c>
      <c r="B174">
        <f>'Rådata-K'!M173</f>
        <v>6</v>
      </c>
      <c r="C174" s="7">
        <f>'Rådata-K'!L173</f>
        <v>229.5833333333</v>
      </c>
      <c r="D174" s="34">
        <f>'Rådata-K'!N173</f>
        <v>6.1803181596201204</v>
      </c>
      <c r="E174" s="34">
        <f>'Rådata-K'!O173</f>
        <v>6.5567896811178805E-2</v>
      </c>
      <c r="F174" s="34">
        <f>'Rådata-K'!P173</f>
        <v>0.11247478143913921</v>
      </c>
      <c r="G174" s="34">
        <f>'Rådata-K'!Q173</f>
        <v>0.15501008742434433</v>
      </c>
      <c r="H174" s="34">
        <f>'Rådata-K'!R173</f>
        <v>3.1774051191526986E-2</v>
      </c>
      <c r="I174" s="34">
        <f>'Rådata-K'!S173</f>
        <v>0.86054721977052073</v>
      </c>
      <c r="J174" s="22">
        <f>'Rådata-K'!K173</f>
        <v>370200</v>
      </c>
      <c r="K174" s="22">
        <f>Tabell2[[#This Row],[NIBR11]]</f>
        <v>6</v>
      </c>
      <c r="L174" s="32">
        <f>IF(Tabell2[[#This Row],[ReisetidOslo]]&lt;=C$434,C$434,IF(Tabell2[[#This Row],[ReisetidOslo]]&gt;=C$435,C$435,Tabell2[[#This Row],[ReisetidOslo]]))</f>
        <v>229.5833333333</v>
      </c>
      <c r="M174" s="32">
        <f>IF(Tabell2[[#This Row],[Beftettotal]]&lt;=D$434,D$434,IF(Tabell2[[#This Row],[Beftettotal]]&gt;=D$435,D$435,Tabell2[[#This Row],[Beftettotal]]))</f>
        <v>6.1803181596201204</v>
      </c>
      <c r="N174" s="34">
        <f>IF(Tabell2[[#This Row],[Befvekst10]]&lt;=E$434,E$434,IF(Tabell2[[#This Row],[Befvekst10]]&gt;=E$435,E$435,Tabell2[[#This Row],[Befvekst10]]))</f>
        <v>6.5567896811178805E-2</v>
      </c>
      <c r="O174" s="34">
        <f>IF(Tabell2[[#This Row],[Kvinneandel]]&lt;=F$434,F$434,IF(Tabell2[[#This Row],[Kvinneandel]]&gt;=F$435,F$435,Tabell2[[#This Row],[Kvinneandel]]))</f>
        <v>0.11247478143913921</v>
      </c>
      <c r="P174" s="34">
        <f>IF(Tabell2[[#This Row],[Eldreandel]]&lt;=G$434,G$434,IF(Tabell2[[#This Row],[Eldreandel]]&gt;=G$435,G$435,Tabell2[[#This Row],[Eldreandel]]))</f>
        <v>0.15501008742434433</v>
      </c>
      <c r="Q174" s="34">
        <f>IF(Tabell2[[#This Row],[Sysselsettingsvekst10]]&lt;=H$434,H$434,IF(Tabell2[[#This Row],[Sysselsettingsvekst10]]&gt;=H$435,H$435,Tabell2[[#This Row],[Sysselsettingsvekst10]]))</f>
        <v>3.1774051191526986E-2</v>
      </c>
      <c r="R174" s="34">
        <f>IF(Tabell2[[#This Row],[Yrkesaktivandel]]&lt;=I$434,I$434,IF(Tabell2[[#This Row],[Yrkesaktivandel]]&gt;=I$435,I$435,Tabell2[[#This Row],[Yrkesaktivandel]]))</f>
        <v>0.86054721977052073</v>
      </c>
      <c r="S174" s="22">
        <f>IF(Tabell2[[#This Row],[Inntekt]]&lt;=J$434,J$434,IF(Tabell2[[#This Row],[Inntekt]]&gt;=J$435,J$435,Tabell2[[#This Row],[Inntekt]]))</f>
        <v>370200</v>
      </c>
      <c r="T174" s="22">
        <f>IF(Tabell2[[#This Row],[NIBR11-T]]&lt;=K$437,100,IF(Tabell2[[#This Row],[NIBR11-T]]&gt;=K$436,0,100*(K$436-Tabell2[[#This Row],[NIBR11-T]])/K$439))</f>
        <v>50</v>
      </c>
      <c r="U174" s="7">
        <f>IF(Tabell2[[#This Row],[ReisetidOslo-T]]&lt;=L$437,100,IF(Tabell2[[#This Row],[ReisetidOslo-T]]&gt;=L$436,0,100*(L$436-Tabell2[[#This Row],[ReisetidOslo-T]])/L$439))</f>
        <v>22.321023766018925</v>
      </c>
      <c r="V174" s="7">
        <f>100-(M$436-Tabell2[[#This Row],[Beftettotal-T]])*100/M$439</f>
        <v>3.752240678423874</v>
      </c>
      <c r="W174" s="7">
        <f>100-(N$436-Tabell2[[#This Row],[Befvekst10-T]])*100/N$439</f>
        <v>57.07938989379673</v>
      </c>
      <c r="X174" s="7">
        <f>100-(O$436-Tabell2[[#This Row],[Kvinneandel-T]])*100/O$439</f>
        <v>58.093856627208375</v>
      </c>
      <c r="Y174" s="7">
        <f>(P$436-Tabell2[[#This Row],[Eldreandel-T]])*100/P$439</f>
        <v>65.06009669040769</v>
      </c>
      <c r="Z174" s="7">
        <f>100-(Q$436-Tabell2[[#This Row],[Sysselsettingsvekst10-T]])*100/Q$439</f>
        <v>30.202642464717997</v>
      </c>
      <c r="AA174" s="7">
        <f>100-(R$436-Tabell2[[#This Row],[Yrkesaktivandel-T]])*100/R$439</f>
        <v>21.968537724402523</v>
      </c>
      <c r="AB174" s="7">
        <f>100-(S$436-Tabell2[[#This Row],[Inntekt-T]])*100/S$439</f>
        <v>44.764337125609472</v>
      </c>
      <c r="AC174" s="55">
        <f>Tabell2[[#This Row],[NIBR11-I]]*Vekter!$B$3</f>
        <v>10</v>
      </c>
      <c r="AD174" s="55">
        <f>Tabell2[[#This Row],[ReisetidOslo-I]]*Vekter!$C$3</f>
        <v>2.2321023766018926</v>
      </c>
      <c r="AE174" s="55">
        <f>Tabell2[[#This Row],[Beftettotal-I]]*Vekter!$D$3</f>
        <v>0.37522406784238743</v>
      </c>
      <c r="AF174" s="55">
        <f>Tabell2[[#This Row],[Befvekst10-I]]*Vekter!$E$3</f>
        <v>11.415877978759347</v>
      </c>
      <c r="AG174" s="55">
        <f>Tabell2[[#This Row],[Kvinneandel-I]]*Vekter!$F$3</f>
        <v>2.904692831360419</v>
      </c>
      <c r="AH174" s="55">
        <f>Tabell2[[#This Row],[Eldreandel-I]]*Vekter!$G$3</f>
        <v>3.2530048345203846</v>
      </c>
      <c r="AI174" s="55">
        <f>Tabell2[[#This Row],[Sysselsettingsvekst10-I]]*Vekter!$H$3</f>
        <v>3.0202642464717999</v>
      </c>
      <c r="AJ174" s="55">
        <f>Tabell2[[#This Row],[Yrkesaktivandel-I]]*Vekter!$J$3</f>
        <v>2.1968537724402526</v>
      </c>
      <c r="AK174" s="55">
        <f>Tabell2[[#This Row],[Inntekt-I]]*Vekter!$L$3</f>
        <v>4.4764337125609472</v>
      </c>
      <c r="AL174" s="56">
        <f>SUM(Tabell2[[#This Row],[NIBR11-v]:[Inntekt-v]])</f>
        <v>39.874453820557427</v>
      </c>
    </row>
    <row r="175" spans="1:38" x14ac:dyDescent="0.25">
      <c r="A175" s="2" t="s">
        <v>172</v>
      </c>
      <c r="B175">
        <f>'Rådata-K'!M174</f>
        <v>7</v>
      </c>
      <c r="C175" s="7">
        <f>'Rådata-K'!L174</f>
        <v>235.4</v>
      </c>
      <c r="D175" s="34">
        <f>'Rådata-K'!N174</f>
        <v>1.1821304073783458</v>
      </c>
      <c r="E175" s="34">
        <f>'Rådata-K'!O174</f>
        <v>4.4318181818181923E-2</v>
      </c>
      <c r="F175" s="34">
        <f>'Rådata-K'!P174</f>
        <v>0.11969532100108814</v>
      </c>
      <c r="G175" s="34">
        <f>'Rådata-K'!Q174</f>
        <v>0.16267682263329705</v>
      </c>
      <c r="H175" s="34">
        <f>'Rådata-K'!R174</f>
        <v>0.13043478260869557</v>
      </c>
      <c r="I175" s="34">
        <f>'Rådata-K'!S174</f>
        <v>0.97134387351778662</v>
      </c>
      <c r="J175" s="22">
        <f>'Rådata-K'!K174</f>
        <v>426300</v>
      </c>
      <c r="K175" s="22">
        <f>Tabell2[[#This Row],[NIBR11]]</f>
        <v>7</v>
      </c>
      <c r="L175" s="32">
        <f>IF(Tabell2[[#This Row],[ReisetidOslo]]&lt;=C$434,C$434,IF(Tabell2[[#This Row],[ReisetidOslo]]&gt;=C$435,C$435,Tabell2[[#This Row],[ReisetidOslo]]))</f>
        <v>235.4</v>
      </c>
      <c r="M175" s="32">
        <f>IF(Tabell2[[#This Row],[Beftettotal]]&lt;=D$434,D$434,IF(Tabell2[[#This Row],[Beftettotal]]&gt;=D$435,D$435,Tabell2[[#This Row],[Beftettotal]]))</f>
        <v>1.3297721240876861</v>
      </c>
      <c r="N175" s="34">
        <f>IF(Tabell2[[#This Row],[Befvekst10]]&lt;=E$434,E$434,IF(Tabell2[[#This Row],[Befvekst10]]&gt;=E$435,E$435,Tabell2[[#This Row],[Befvekst10]]))</f>
        <v>4.4318181818181923E-2</v>
      </c>
      <c r="O175" s="34">
        <f>IF(Tabell2[[#This Row],[Kvinneandel]]&lt;=F$434,F$434,IF(Tabell2[[#This Row],[Kvinneandel]]&gt;=F$435,F$435,Tabell2[[#This Row],[Kvinneandel]]))</f>
        <v>0.11969532100108814</v>
      </c>
      <c r="P175" s="34">
        <f>IF(Tabell2[[#This Row],[Eldreandel]]&lt;=G$434,G$434,IF(Tabell2[[#This Row],[Eldreandel]]&gt;=G$435,G$435,Tabell2[[#This Row],[Eldreandel]]))</f>
        <v>0.16267682263329705</v>
      </c>
      <c r="Q175" s="34">
        <f>IF(Tabell2[[#This Row],[Sysselsettingsvekst10]]&lt;=H$434,H$434,IF(Tabell2[[#This Row],[Sysselsettingsvekst10]]&gt;=H$435,H$435,Tabell2[[#This Row],[Sysselsettingsvekst10]]))</f>
        <v>0.13043478260869557</v>
      </c>
      <c r="R175" s="34">
        <f>IF(Tabell2[[#This Row],[Yrkesaktivandel]]&lt;=I$434,I$434,IF(Tabell2[[#This Row],[Yrkesaktivandel]]&gt;=I$435,I$435,Tabell2[[#This Row],[Yrkesaktivandel]]))</f>
        <v>0.96203284815106216</v>
      </c>
      <c r="S175" s="22">
        <f>IF(Tabell2[[#This Row],[Inntekt]]&lt;=J$434,J$434,IF(Tabell2[[#This Row],[Inntekt]]&gt;=J$435,J$435,Tabell2[[#This Row],[Inntekt]]))</f>
        <v>417780</v>
      </c>
      <c r="T175" s="22">
        <f>IF(Tabell2[[#This Row],[NIBR11-T]]&lt;=K$437,100,IF(Tabell2[[#This Row],[NIBR11-T]]&gt;=K$436,0,100*(K$436-Tabell2[[#This Row],[NIBR11-T]])/K$439))</f>
        <v>40</v>
      </c>
      <c r="U175" s="7">
        <f>IF(Tabell2[[#This Row],[ReisetidOslo-T]]&lt;=L$437,100,IF(Tabell2[[#This Row],[ReisetidOslo-T]]&gt;=L$436,0,100*(L$436-Tabell2[[#This Row],[ReisetidOslo-T]])/L$439))</f>
        <v>19.768921389404923</v>
      </c>
      <c r="V175" s="7">
        <f>100-(M$436-Tabell2[[#This Row],[Beftettotal-T]])*100/M$439</f>
        <v>0</v>
      </c>
      <c r="W175" s="7">
        <f>100-(N$436-Tabell2[[#This Row],[Befvekst10-T]])*100/N$439</f>
        <v>48.523477871067023</v>
      </c>
      <c r="X175" s="7">
        <f>100-(O$436-Tabell2[[#This Row],[Kvinneandel-T]])*100/O$439</f>
        <v>77.173998618042049</v>
      </c>
      <c r="Y175" s="7">
        <f>(P$436-Tabell2[[#This Row],[Eldreandel-T]])*100/P$439</f>
        <v>56.659256724182974</v>
      </c>
      <c r="Z175" s="7">
        <f>100-(Q$436-Tabell2[[#This Row],[Sysselsettingsvekst10-T]])*100/Q$439</f>
        <v>59.558245746338429</v>
      </c>
      <c r="AA175" s="7">
        <f>100-(R$436-Tabell2[[#This Row],[Yrkesaktivandel-T]])*100/R$439</f>
        <v>100</v>
      </c>
      <c r="AB175" s="7">
        <f>100-(S$436-Tabell2[[#This Row],[Inntekt-T]])*100/S$439</f>
        <v>100</v>
      </c>
      <c r="AC175" s="55">
        <f>Tabell2[[#This Row],[NIBR11-I]]*Vekter!$B$3</f>
        <v>8</v>
      </c>
      <c r="AD175" s="55">
        <f>Tabell2[[#This Row],[ReisetidOslo-I]]*Vekter!$C$3</f>
        <v>1.9768921389404923</v>
      </c>
      <c r="AE175" s="55">
        <f>Tabell2[[#This Row],[Beftettotal-I]]*Vekter!$D$3</f>
        <v>0</v>
      </c>
      <c r="AF175" s="55">
        <f>Tabell2[[#This Row],[Befvekst10-I]]*Vekter!$E$3</f>
        <v>9.7046955742134049</v>
      </c>
      <c r="AG175" s="55">
        <f>Tabell2[[#This Row],[Kvinneandel-I]]*Vekter!$F$3</f>
        <v>3.8586999309021026</v>
      </c>
      <c r="AH175" s="55">
        <f>Tabell2[[#This Row],[Eldreandel-I]]*Vekter!$G$3</f>
        <v>2.8329628362091488</v>
      </c>
      <c r="AI175" s="55">
        <f>Tabell2[[#This Row],[Sysselsettingsvekst10-I]]*Vekter!$H$3</f>
        <v>5.9558245746338434</v>
      </c>
      <c r="AJ175" s="55">
        <f>Tabell2[[#This Row],[Yrkesaktivandel-I]]*Vekter!$J$3</f>
        <v>10</v>
      </c>
      <c r="AK175" s="55">
        <f>Tabell2[[#This Row],[Inntekt-I]]*Vekter!$L$3</f>
        <v>10</v>
      </c>
      <c r="AL175" s="56">
        <f>SUM(Tabell2[[#This Row],[NIBR11-v]:[Inntekt-v]])</f>
        <v>52.329075054898986</v>
      </c>
    </row>
    <row r="176" spans="1:38" x14ac:dyDescent="0.25">
      <c r="A176" s="2" t="s">
        <v>173</v>
      </c>
      <c r="B176">
        <f>'Rådata-K'!M175</f>
        <v>5</v>
      </c>
      <c r="C176" s="7">
        <f>'Rådata-K'!L175</f>
        <v>208.78333333329999</v>
      </c>
      <c r="D176" s="34">
        <f>'Rådata-K'!N175</f>
        <v>34.489456159822417</v>
      </c>
      <c r="E176" s="34">
        <f>'Rådata-K'!O175</f>
        <v>0.11247016706443924</v>
      </c>
      <c r="F176" s="34">
        <f>'Rådata-K'!P175</f>
        <v>0.11826226870474658</v>
      </c>
      <c r="G176" s="34">
        <f>'Rådata-K'!Q175</f>
        <v>0.13354786806114241</v>
      </c>
      <c r="H176" s="34">
        <f>'Rådata-K'!R175</f>
        <v>0.1281792150917973</v>
      </c>
      <c r="I176" s="34">
        <f>'Rådata-K'!S175</f>
        <v>0.91264048198354764</v>
      </c>
      <c r="J176" s="22">
        <f>'Rådata-K'!K175</f>
        <v>416100</v>
      </c>
      <c r="K176" s="22">
        <f>Tabell2[[#This Row],[NIBR11]]</f>
        <v>5</v>
      </c>
      <c r="L176" s="32">
        <f>IF(Tabell2[[#This Row],[ReisetidOslo]]&lt;=C$434,C$434,IF(Tabell2[[#This Row],[ReisetidOslo]]&gt;=C$435,C$435,Tabell2[[#This Row],[ReisetidOslo]]))</f>
        <v>208.78333333329999</v>
      </c>
      <c r="M176" s="32">
        <f>IF(Tabell2[[#This Row],[Beftettotal]]&lt;=D$434,D$434,IF(Tabell2[[#This Row],[Beftettotal]]&gt;=D$435,D$435,Tabell2[[#This Row],[Beftettotal]]))</f>
        <v>34.489456159822417</v>
      </c>
      <c r="N176" s="34">
        <f>IF(Tabell2[[#This Row],[Befvekst10]]&lt;=E$434,E$434,IF(Tabell2[[#This Row],[Befvekst10]]&gt;=E$435,E$435,Tabell2[[#This Row],[Befvekst10]]))</f>
        <v>0.11247016706443924</v>
      </c>
      <c r="O176" s="34">
        <f>IF(Tabell2[[#This Row],[Kvinneandel]]&lt;=F$434,F$434,IF(Tabell2[[#This Row],[Kvinneandel]]&gt;=F$435,F$435,Tabell2[[#This Row],[Kvinneandel]]))</f>
        <v>0.11826226870474658</v>
      </c>
      <c r="P176" s="34">
        <f>IF(Tabell2[[#This Row],[Eldreandel]]&lt;=G$434,G$434,IF(Tabell2[[#This Row],[Eldreandel]]&gt;=G$435,G$435,Tabell2[[#This Row],[Eldreandel]]))</f>
        <v>0.13354786806114241</v>
      </c>
      <c r="Q176" s="34">
        <f>IF(Tabell2[[#This Row],[Sysselsettingsvekst10]]&lt;=H$434,H$434,IF(Tabell2[[#This Row],[Sysselsettingsvekst10]]&gt;=H$435,H$435,Tabell2[[#This Row],[Sysselsettingsvekst10]]))</f>
        <v>0.1281792150917973</v>
      </c>
      <c r="R176" s="34">
        <f>IF(Tabell2[[#This Row],[Yrkesaktivandel]]&lt;=I$434,I$434,IF(Tabell2[[#This Row],[Yrkesaktivandel]]&gt;=I$435,I$435,Tabell2[[#This Row],[Yrkesaktivandel]]))</f>
        <v>0.91264048198354764</v>
      </c>
      <c r="S176" s="22">
        <f>IF(Tabell2[[#This Row],[Inntekt]]&lt;=J$434,J$434,IF(Tabell2[[#This Row],[Inntekt]]&gt;=J$435,J$435,Tabell2[[#This Row],[Inntekt]]))</f>
        <v>416100</v>
      </c>
      <c r="T176" s="22">
        <f>IF(Tabell2[[#This Row],[NIBR11-T]]&lt;=K$437,100,IF(Tabell2[[#This Row],[NIBR11-T]]&gt;=K$436,0,100*(K$436-Tabell2[[#This Row],[NIBR11-T]])/K$439))</f>
        <v>60</v>
      </c>
      <c r="U176" s="7">
        <f>IF(Tabell2[[#This Row],[ReisetidOslo-T]]&lt;=L$437,100,IF(Tabell2[[#This Row],[ReisetidOslo-T]]&gt;=L$436,0,100*(L$436-Tabell2[[#This Row],[ReisetidOslo-T]])/L$439))</f>
        <v>31.447166361996054</v>
      </c>
      <c r="V176" s="7">
        <f>100-(M$436-Tabell2[[#This Row],[Beftettotal-T]])*100/M$439</f>
        <v>25.65136263239468</v>
      </c>
      <c r="W176" s="7">
        <f>100-(N$436-Tabell2[[#This Row],[Befvekst10-T]])*100/N$439</f>
        <v>75.963958373206452</v>
      </c>
      <c r="X176" s="7">
        <f>100-(O$436-Tabell2[[#This Row],[Kvinneandel-T]])*100/O$439</f>
        <v>73.387184480414533</v>
      </c>
      <c r="Y176" s="7">
        <f>(P$436-Tabell2[[#This Row],[Eldreandel-T]])*100/P$439</f>
        <v>88.577365159485012</v>
      </c>
      <c r="Z176" s="7">
        <f>100-(Q$436-Tabell2[[#This Row],[Sysselsettingsvekst10-T]])*100/Q$439</f>
        <v>58.887122146808203</v>
      </c>
      <c r="AA176" s="7">
        <f>100-(R$436-Tabell2[[#This Row],[Yrkesaktivandel-T]])*100/R$439</f>
        <v>62.022617203975528</v>
      </c>
      <c r="AB176" s="7">
        <f>100-(S$436-Tabell2[[#This Row],[Inntekt-T]])*100/S$439</f>
        <v>98.049686556768052</v>
      </c>
      <c r="AC176" s="55">
        <f>Tabell2[[#This Row],[NIBR11-I]]*Vekter!$B$3</f>
        <v>12</v>
      </c>
      <c r="AD176" s="55">
        <f>Tabell2[[#This Row],[ReisetidOslo-I]]*Vekter!$C$3</f>
        <v>3.1447166361996057</v>
      </c>
      <c r="AE176" s="55">
        <f>Tabell2[[#This Row],[Beftettotal-I]]*Vekter!$D$3</f>
        <v>2.5651362632394683</v>
      </c>
      <c r="AF176" s="55">
        <f>Tabell2[[#This Row],[Befvekst10-I]]*Vekter!$E$3</f>
        <v>15.192791674641292</v>
      </c>
      <c r="AG176" s="55">
        <f>Tabell2[[#This Row],[Kvinneandel-I]]*Vekter!$F$3</f>
        <v>3.6693592240207269</v>
      </c>
      <c r="AH176" s="55">
        <f>Tabell2[[#This Row],[Eldreandel-I]]*Vekter!$G$3</f>
        <v>4.4288682579742504</v>
      </c>
      <c r="AI176" s="55">
        <f>Tabell2[[#This Row],[Sysselsettingsvekst10-I]]*Vekter!$H$3</f>
        <v>5.8887122146808206</v>
      </c>
      <c r="AJ176" s="55">
        <f>Tabell2[[#This Row],[Yrkesaktivandel-I]]*Vekter!$J$3</f>
        <v>6.2022617203975532</v>
      </c>
      <c r="AK176" s="55">
        <f>Tabell2[[#This Row],[Inntekt-I]]*Vekter!$L$3</f>
        <v>9.8049686556768059</v>
      </c>
      <c r="AL176" s="56">
        <f>SUM(Tabell2[[#This Row],[NIBR11-v]:[Inntekt-v]])</f>
        <v>62.896814646830521</v>
      </c>
    </row>
    <row r="177" spans="1:38" x14ac:dyDescent="0.25">
      <c r="A177" s="2" t="s">
        <v>174</v>
      </c>
      <c r="B177">
        <f>'Rådata-K'!M176</f>
        <v>2</v>
      </c>
      <c r="C177" s="7">
        <f>'Rådata-K'!L176</f>
        <v>161.98333333329998</v>
      </c>
      <c r="D177" s="34">
        <f>'Rådata-K'!N176</f>
        <v>241.87391175794212</v>
      </c>
      <c r="E177" s="34">
        <f>'Rådata-K'!O176</f>
        <v>0.27779513346523665</v>
      </c>
      <c r="F177" s="34">
        <f>'Rådata-K'!P176</f>
        <v>0.14563185917635554</v>
      </c>
      <c r="G177" s="34">
        <f>'Rådata-K'!Q176</f>
        <v>9.8894382266652175E-2</v>
      </c>
      <c r="H177" s="34">
        <f>'Rådata-K'!R176</f>
        <v>0.3169318791346325</v>
      </c>
      <c r="I177" s="34">
        <f>'Rådata-K'!S176</f>
        <v>0.8956889226778767</v>
      </c>
      <c r="J177" s="22">
        <f>'Rådata-K'!K176</f>
        <v>473500</v>
      </c>
      <c r="K177" s="22">
        <f>Tabell2[[#This Row],[NIBR11]]</f>
        <v>2</v>
      </c>
      <c r="L177" s="32">
        <f>IF(Tabell2[[#This Row],[ReisetidOslo]]&lt;=C$434,C$434,IF(Tabell2[[#This Row],[ReisetidOslo]]&gt;=C$435,C$435,Tabell2[[#This Row],[ReisetidOslo]]))</f>
        <v>161.98333333329998</v>
      </c>
      <c r="M177" s="32">
        <f>IF(Tabell2[[#This Row],[Beftettotal]]&lt;=D$434,D$434,IF(Tabell2[[#This Row],[Beftettotal]]&gt;=D$435,D$435,Tabell2[[#This Row],[Beftettotal]]))</f>
        <v>130.60042534801397</v>
      </c>
      <c r="N177" s="34">
        <f>IF(Tabell2[[#This Row],[Befvekst10]]&lt;=E$434,E$434,IF(Tabell2[[#This Row],[Befvekst10]]&gt;=E$435,E$435,Tabell2[[#This Row],[Befvekst10]]))</f>
        <v>0.17216678769030419</v>
      </c>
      <c r="O177" s="34">
        <f>IF(Tabell2[[#This Row],[Kvinneandel]]&lt;=F$434,F$434,IF(Tabell2[[#This Row],[Kvinneandel]]&gt;=F$435,F$435,Tabell2[[#This Row],[Kvinneandel]]))</f>
        <v>0.12833341426573511</v>
      </c>
      <c r="P177" s="34">
        <f>IF(Tabell2[[#This Row],[Eldreandel]]&lt;=G$434,G$434,IF(Tabell2[[#This Row],[Eldreandel]]&gt;=G$435,G$435,Tabell2[[#This Row],[Eldreandel]]))</f>
        <v>0.12312339657223466</v>
      </c>
      <c r="Q177" s="34">
        <f>IF(Tabell2[[#This Row],[Sysselsettingsvekst10]]&lt;=H$434,H$434,IF(Tabell2[[#This Row],[Sysselsettingsvekst10]]&gt;=H$435,H$435,Tabell2[[#This Row],[Sysselsettingsvekst10]]))</f>
        <v>0.26635476409167841</v>
      </c>
      <c r="R177" s="34">
        <f>IF(Tabell2[[#This Row],[Yrkesaktivandel]]&lt;=I$434,I$434,IF(Tabell2[[#This Row],[Yrkesaktivandel]]&gt;=I$435,I$435,Tabell2[[#This Row],[Yrkesaktivandel]]))</f>
        <v>0.8956889226778767</v>
      </c>
      <c r="S177" s="22">
        <f>IF(Tabell2[[#This Row],[Inntekt]]&lt;=J$434,J$434,IF(Tabell2[[#This Row],[Inntekt]]&gt;=J$435,J$435,Tabell2[[#This Row],[Inntekt]]))</f>
        <v>417780</v>
      </c>
      <c r="T177" s="22">
        <f>IF(Tabell2[[#This Row],[NIBR11-T]]&lt;=K$437,100,IF(Tabell2[[#This Row],[NIBR11-T]]&gt;=K$436,0,100*(K$436-Tabell2[[#This Row],[NIBR11-T]])/K$439))</f>
        <v>90</v>
      </c>
      <c r="U177" s="7">
        <f>IF(Tabell2[[#This Row],[ReisetidOslo-T]]&lt;=L$437,100,IF(Tabell2[[#This Row],[ReisetidOslo-T]]&gt;=L$436,0,100*(L$436-Tabell2[[#This Row],[ReisetidOslo-T]])/L$439))</f>
        <v>51.980987202944597</v>
      </c>
      <c r="V177" s="7">
        <f>100-(M$436-Tabell2[[#This Row],[Beftettotal-T]])*100/M$439</f>
        <v>100</v>
      </c>
      <c r="W177" s="7">
        <f>100-(N$436-Tabell2[[#This Row],[Befvekst10-T]])*100/N$439</f>
        <v>100</v>
      </c>
      <c r="X177" s="7">
        <f>100-(O$436-Tabell2[[#This Row],[Kvinneandel-T]])*100/O$439</f>
        <v>100</v>
      </c>
      <c r="Y177" s="7">
        <f>(P$436-Tabell2[[#This Row],[Eldreandel-T]])*100/P$439</f>
        <v>100</v>
      </c>
      <c r="Z177" s="7">
        <f>100-(Q$436-Tabell2[[#This Row],[Sysselsettingsvekst10-T]])*100/Q$439</f>
        <v>100</v>
      </c>
      <c r="AA177" s="7">
        <f>100-(R$436-Tabell2[[#This Row],[Yrkesaktivandel-T]])*100/R$439</f>
        <v>48.988703125884882</v>
      </c>
      <c r="AB177" s="7">
        <f>100-(S$436-Tabell2[[#This Row],[Inntekt-T]])*100/S$439</f>
        <v>100</v>
      </c>
      <c r="AC177" s="55">
        <f>Tabell2[[#This Row],[NIBR11-I]]*Vekter!$B$3</f>
        <v>18</v>
      </c>
      <c r="AD177" s="55">
        <f>Tabell2[[#This Row],[ReisetidOslo-I]]*Vekter!$C$3</f>
        <v>5.1980987202944604</v>
      </c>
      <c r="AE177" s="55">
        <f>Tabell2[[#This Row],[Beftettotal-I]]*Vekter!$D$3</f>
        <v>10</v>
      </c>
      <c r="AF177" s="55">
        <f>Tabell2[[#This Row],[Befvekst10-I]]*Vekter!$E$3</f>
        <v>20</v>
      </c>
      <c r="AG177" s="55">
        <f>Tabell2[[#This Row],[Kvinneandel-I]]*Vekter!$F$3</f>
        <v>5</v>
      </c>
      <c r="AH177" s="55">
        <f>Tabell2[[#This Row],[Eldreandel-I]]*Vekter!$G$3</f>
        <v>5</v>
      </c>
      <c r="AI177" s="55">
        <f>Tabell2[[#This Row],[Sysselsettingsvekst10-I]]*Vekter!$H$3</f>
        <v>10</v>
      </c>
      <c r="AJ177" s="55">
        <f>Tabell2[[#This Row],[Yrkesaktivandel-I]]*Vekter!$J$3</f>
        <v>4.8988703125884889</v>
      </c>
      <c r="AK177" s="55">
        <f>Tabell2[[#This Row],[Inntekt-I]]*Vekter!$L$3</f>
        <v>10</v>
      </c>
      <c r="AL177" s="56">
        <f>SUM(Tabell2[[#This Row],[NIBR11-v]:[Inntekt-v]])</f>
        <v>88.096969032882953</v>
      </c>
    </row>
    <row r="178" spans="1:38" x14ac:dyDescent="0.25">
      <c r="A178" s="2" t="s">
        <v>175</v>
      </c>
      <c r="B178">
        <f>'Rådata-K'!M177</f>
        <v>2</v>
      </c>
      <c r="C178" s="7">
        <f>'Rådata-K'!L177</f>
        <v>161.9</v>
      </c>
      <c r="D178" s="34">
        <f>'Rådata-K'!N177</f>
        <v>1851.4646110721792</v>
      </c>
      <c r="E178" s="34">
        <f>'Rådata-K'!O177</f>
        <v>0.15888096428665421</v>
      </c>
      <c r="F178" s="34">
        <f>'Rådata-K'!P177</f>
        <v>0.14889252244477752</v>
      </c>
      <c r="G178" s="34">
        <f>'Rådata-K'!Q177</f>
        <v>0.10961226930705062</v>
      </c>
      <c r="H178" s="34">
        <f>'Rådata-K'!R177</f>
        <v>0.27716834197763185</v>
      </c>
      <c r="I178" s="34">
        <f>'Rådata-K'!S177</f>
        <v>0.87016681596978429</v>
      </c>
      <c r="J178" s="22">
        <f>'Rådata-K'!K177</f>
        <v>519400</v>
      </c>
      <c r="K178" s="22">
        <f>Tabell2[[#This Row],[NIBR11]]</f>
        <v>2</v>
      </c>
      <c r="L178" s="32">
        <f>IF(Tabell2[[#This Row],[ReisetidOslo]]&lt;=C$434,C$434,IF(Tabell2[[#This Row],[ReisetidOslo]]&gt;=C$435,C$435,Tabell2[[#This Row],[ReisetidOslo]]))</f>
        <v>161.9</v>
      </c>
      <c r="M178" s="32">
        <f>IF(Tabell2[[#This Row],[Beftettotal]]&lt;=D$434,D$434,IF(Tabell2[[#This Row],[Beftettotal]]&gt;=D$435,D$435,Tabell2[[#This Row],[Beftettotal]]))</f>
        <v>130.60042534801397</v>
      </c>
      <c r="N178" s="34">
        <f>IF(Tabell2[[#This Row],[Befvekst10]]&lt;=E$434,E$434,IF(Tabell2[[#This Row],[Befvekst10]]&gt;=E$435,E$435,Tabell2[[#This Row],[Befvekst10]]))</f>
        <v>0.15888096428665421</v>
      </c>
      <c r="O178" s="34">
        <f>IF(Tabell2[[#This Row],[Kvinneandel]]&lt;=F$434,F$434,IF(Tabell2[[#This Row],[Kvinneandel]]&gt;=F$435,F$435,Tabell2[[#This Row],[Kvinneandel]]))</f>
        <v>0.12833341426573511</v>
      </c>
      <c r="P178" s="34">
        <f>IF(Tabell2[[#This Row],[Eldreandel]]&lt;=G$434,G$434,IF(Tabell2[[#This Row],[Eldreandel]]&gt;=G$435,G$435,Tabell2[[#This Row],[Eldreandel]]))</f>
        <v>0.12312339657223466</v>
      </c>
      <c r="Q178" s="34">
        <f>IF(Tabell2[[#This Row],[Sysselsettingsvekst10]]&lt;=H$434,H$434,IF(Tabell2[[#This Row],[Sysselsettingsvekst10]]&gt;=H$435,H$435,Tabell2[[#This Row],[Sysselsettingsvekst10]]))</f>
        <v>0.26635476409167841</v>
      </c>
      <c r="R178" s="34">
        <f>IF(Tabell2[[#This Row],[Yrkesaktivandel]]&lt;=I$434,I$434,IF(Tabell2[[#This Row],[Yrkesaktivandel]]&gt;=I$435,I$435,Tabell2[[#This Row],[Yrkesaktivandel]]))</f>
        <v>0.87016681596978429</v>
      </c>
      <c r="S178" s="22">
        <f>IF(Tabell2[[#This Row],[Inntekt]]&lt;=J$434,J$434,IF(Tabell2[[#This Row],[Inntekt]]&gt;=J$435,J$435,Tabell2[[#This Row],[Inntekt]]))</f>
        <v>417780</v>
      </c>
      <c r="T178" s="22">
        <f>IF(Tabell2[[#This Row],[NIBR11-T]]&lt;=K$437,100,IF(Tabell2[[#This Row],[NIBR11-T]]&gt;=K$436,0,100*(K$436-Tabell2[[#This Row],[NIBR11-T]])/K$439))</f>
        <v>90</v>
      </c>
      <c r="U178" s="7">
        <f>IF(Tabell2[[#This Row],[ReisetidOslo-T]]&lt;=L$437,100,IF(Tabell2[[#This Row],[ReisetidOslo-T]]&gt;=L$436,0,100*(L$436-Tabell2[[#This Row],[ReisetidOslo-T]])/L$439))</f>
        <v>52.017550274227943</v>
      </c>
      <c r="V178" s="7">
        <f>100-(M$436-Tabell2[[#This Row],[Beftettotal-T]])*100/M$439</f>
        <v>100</v>
      </c>
      <c r="W178" s="7">
        <f>100-(N$436-Tabell2[[#This Row],[Befvekst10-T]])*100/N$439</f>
        <v>94.650641844908762</v>
      </c>
      <c r="X178" s="7">
        <f>100-(O$436-Tabell2[[#This Row],[Kvinneandel-T]])*100/O$439</f>
        <v>100</v>
      </c>
      <c r="Y178" s="7">
        <f>(P$436-Tabell2[[#This Row],[Eldreandel-T]])*100/P$439</f>
        <v>100</v>
      </c>
      <c r="Z178" s="7">
        <f>100-(Q$436-Tabell2[[#This Row],[Sysselsettingsvekst10-T]])*100/Q$439</f>
        <v>100</v>
      </c>
      <c r="AA178" s="7">
        <f>100-(R$436-Tabell2[[#This Row],[Yrkesaktivandel-T]])*100/R$439</f>
        <v>29.364965868047349</v>
      </c>
      <c r="AB178" s="7">
        <f>100-(S$436-Tabell2[[#This Row],[Inntekt-T]])*100/S$439</f>
        <v>100</v>
      </c>
      <c r="AC178" s="55">
        <f>Tabell2[[#This Row],[NIBR11-I]]*Vekter!$B$3</f>
        <v>18</v>
      </c>
      <c r="AD178" s="55">
        <f>Tabell2[[#This Row],[ReisetidOslo-I]]*Vekter!$C$3</f>
        <v>5.2017550274227951</v>
      </c>
      <c r="AE178" s="55">
        <f>Tabell2[[#This Row],[Beftettotal-I]]*Vekter!$D$3</f>
        <v>10</v>
      </c>
      <c r="AF178" s="55">
        <f>Tabell2[[#This Row],[Befvekst10-I]]*Vekter!$E$3</f>
        <v>18.930128368981752</v>
      </c>
      <c r="AG178" s="55">
        <f>Tabell2[[#This Row],[Kvinneandel-I]]*Vekter!$F$3</f>
        <v>5</v>
      </c>
      <c r="AH178" s="55">
        <f>Tabell2[[#This Row],[Eldreandel-I]]*Vekter!$G$3</f>
        <v>5</v>
      </c>
      <c r="AI178" s="55">
        <f>Tabell2[[#This Row],[Sysselsettingsvekst10-I]]*Vekter!$H$3</f>
        <v>10</v>
      </c>
      <c r="AJ178" s="55">
        <f>Tabell2[[#This Row],[Yrkesaktivandel-I]]*Vekter!$J$3</f>
        <v>2.936496586804735</v>
      </c>
      <c r="AK178" s="55">
        <f>Tabell2[[#This Row],[Inntekt-I]]*Vekter!$L$3</f>
        <v>10</v>
      </c>
      <c r="AL178" s="56">
        <f>SUM(Tabell2[[#This Row],[NIBR11-v]:[Inntekt-v]])</f>
        <v>85.068379983209283</v>
      </c>
    </row>
    <row r="179" spans="1:38" x14ac:dyDescent="0.25">
      <c r="A179" s="2" t="s">
        <v>176</v>
      </c>
      <c r="B179">
        <f>'Rådata-K'!M178</f>
        <v>4</v>
      </c>
      <c r="C179" s="7">
        <f>'Rådata-K'!L178</f>
        <v>163.6666666667</v>
      </c>
      <c r="D179" s="34">
        <f>'Rådata-K'!N178</f>
        <v>502.79344984175037</v>
      </c>
      <c r="E179" s="34">
        <f>'Rådata-K'!O178</f>
        <v>0.15883285759594035</v>
      </c>
      <c r="F179" s="34">
        <f>'Rådata-K'!P178</f>
        <v>0.13490065137664897</v>
      </c>
      <c r="G179" s="34">
        <f>'Rådata-K'!Q178</f>
        <v>0.13145218676446441</v>
      </c>
      <c r="H179" s="34">
        <f>'Rådata-K'!R178</f>
        <v>0.19724844888049642</v>
      </c>
      <c r="I179" s="34">
        <f>'Rådata-K'!S178</f>
        <v>0.83971119133574013</v>
      </c>
      <c r="J179" s="22">
        <f>'Rådata-K'!K178</f>
        <v>409200</v>
      </c>
      <c r="K179" s="22">
        <f>Tabell2[[#This Row],[NIBR11]]</f>
        <v>4</v>
      </c>
      <c r="L179" s="32">
        <f>IF(Tabell2[[#This Row],[ReisetidOslo]]&lt;=C$434,C$434,IF(Tabell2[[#This Row],[ReisetidOslo]]&gt;=C$435,C$435,Tabell2[[#This Row],[ReisetidOslo]]))</f>
        <v>163.6666666667</v>
      </c>
      <c r="M179" s="32">
        <f>IF(Tabell2[[#This Row],[Beftettotal]]&lt;=D$434,D$434,IF(Tabell2[[#This Row],[Beftettotal]]&gt;=D$435,D$435,Tabell2[[#This Row],[Beftettotal]]))</f>
        <v>130.60042534801397</v>
      </c>
      <c r="N179" s="34">
        <f>IF(Tabell2[[#This Row],[Befvekst10]]&lt;=E$434,E$434,IF(Tabell2[[#This Row],[Befvekst10]]&gt;=E$435,E$435,Tabell2[[#This Row],[Befvekst10]]))</f>
        <v>0.15883285759594035</v>
      </c>
      <c r="O179" s="34">
        <f>IF(Tabell2[[#This Row],[Kvinneandel]]&lt;=F$434,F$434,IF(Tabell2[[#This Row],[Kvinneandel]]&gt;=F$435,F$435,Tabell2[[#This Row],[Kvinneandel]]))</f>
        <v>0.12833341426573511</v>
      </c>
      <c r="P179" s="34">
        <f>IF(Tabell2[[#This Row],[Eldreandel]]&lt;=G$434,G$434,IF(Tabell2[[#This Row],[Eldreandel]]&gt;=G$435,G$435,Tabell2[[#This Row],[Eldreandel]]))</f>
        <v>0.13145218676446441</v>
      </c>
      <c r="Q179" s="34">
        <f>IF(Tabell2[[#This Row],[Sysselsettingsvekst10]]&lt;=H$434,H$434,IF(Tabell2[[#This Row],[Sysselsettingsvekst10]]&gt;=H$435,H$435,Tabell2[[#This Row],[Sysselsettingsvekst10]]))</f>
        <v>0.19724844888049642</v>
      </c>
      <c r="R179" s="34">
        <f>IF(Tabell2[[#This Row],[Yrkesaktivandel]]&lt;=I$434,I$434,IF(Tabell2[[#This Row],[Yrkesaktivandel]]&gt;=I$435,I$435,Tabell2[[#This Row],[Yrkesaktivandel]]))</f>
        <v>0.83971119133574013</v>
      </c>
      <c r="S179" s="22">
        <f>IF(Tabell2[[#This Row],[Inntekt]]&lt;=J$434,J$434,IF(Tabell2[[#This Row],[Inntekt]]&gt;=J$435,J$435,Tabell2[[#This Row],[Inntekt]]))</f>
        <v>409200</v>
      </c>
      <c r="T179" s="22">
        <f>IF(Tabell2[[#This Row],[NIBR11-T]]&lt;=K$437,100,IF(Tabell2[[#This Row],[NIBR11-T]]&gt;=K$436,0,100*(K$436-Tabell2[[#This Row],[NIBR11-T]])/K$439))</f>
        <v>70</v>
      </c>
      <c r="U179" s="7">
        <f>IF(Tabell2[[#This Row],[ReisetidOslo-T]]&lt;=L$437,100,IF(Tabell2[[#This Row],[ReisetidOslo-T]]&gt;=L$436,0,100*(L$436-Tabell2[[#This Row],[ReisetidOslo-T]])/L$439))</f>
        <v>51.242413162696032</v>
      </c>
      <c r="V179" s="7">
        <f>100-(M$436-Tabell2[[#This Row],[Beftettotal-T]])*100/M$439</f>
        <v>100</v>
      </c>
      <c r="W179" s="7">
        <f>100-(N$436-Tabell2[[#This Row],[Befvekst10-T]])*100/N$439</f>
        <v>94.63127233272526</v>
      </c>
      <c r="X179" s="7">
        <f>100-(O$436-Tabell2[[#This Row],[Kvinneandel-T]])*100/O$439</f>
        <v>100</v>
      </c>
      <c r="Y179" s="7">
        <f>(P$436-Tabell2[[#This Row],[Eldreandel-T]])*100/P$439</f>
        <v>90.873712002538056</v>
      </c>
      <c r="Z179" s="7">
        <f>100-(Q$436-Tabell2[[#This Row],[Sysselsettingsvekst10-T]])*100/Q$439</f>
        <v>79.438044453408025</v>
      </c>
      <c r="AA179" s="7">
        <f>100-(R$436-Tabell2[[#This Row],[Yrkesaktivandel-T]])*100/R$439</f>
        <v>5.9478873847767346</v>
      </c>
      <c r="AB179" s="7">
        <f>100-(S$436-Tabell2[[#This Row],[Inntekt-T]])*100/S$439</f>
        <v>90.039470629208267</v>
      </c>
      <c r="AC179" s="55">
        <f>Tabell2[[#This Row],[NIBR11-I]]*Vekter!$B$3</f>
        <v>14</v>
      </c>
      <c r="AD179" s="55">
        <f>Tabell2[[#This Row],[ReisetidOslo-I]]*Vekter!$C$3</f>
        <v>5.1242413162696039</v>
      </c>
      <c r="AE179" s="55">
        <f>Tabell2[[#This Row],[Beftettotal-I]]*Vekter!$D$3</f>
        <v>10</v>
      </c>
      <c r="AF179" s="55">
        <f>Tabell2[[#This Row],[Befvekst10-I]]*Vekter!$E$3</f>
        <v>18.926254466545053</v>
      </c>
      <c r="AG179" s="55">
        <f>Tabell2[[#This Row],[Kvinneandel-I]]*Vekter!$F$3</f>
        <v>5</v>
      </c>
      <c r="AH179" s="55">
        <f>Tabell2[[#This Row],[Eldreandel-I]]*Vekter!$G$3</f>
        <v>4.5436856001269028</v>
      </c>
      <c r="AI179" s="55">
        <f>Tabell2[[#This Row],[Sysselsettingsvekst10-I]]*Vekter!$H$3</f>
        <v>7.9438044453408025</v>
      </c>
      <c r="AJ179" s="55">
        <f>Tabell2[[#This Row],[Yrkesaktivandel-I]]*Vekter!$J$3</f>
        <v>0.59478873847767344</v>
      </c>
      <c r="AK179" s="55">
        <f>Tabell2[[#This Row],[Inntekt-I]]*Vekter!$L$3</f>
        <v>9.0039470629208278</v>
      </c>
      <c r="AL179" s="56">
        <f>SUM(Tabell2[[#This Row],[NIBR11-v]:[Inntekt-v]])</f>
        <v>75.136721629680864</v>
      </c>
    </row>
    <row r="180" spans="1:38" x14ac:dyDescent="0.25">
      <c r="A180" s="2" t="s">
        <v>177</v>
      </c>
      <c r="B180">
        <f>'Rådata-K'!M179</f>
        <v>5</v>
      </c>
      <c r="C180" s="7">
        <f>'Rådata-K'!L179</f>
        <v>225.46666666670001</v>
      </c>
      <c r="D180" s="34">
        <f>'Rådata-K'!N179</f>
        <v>11.218089975251722</v>
      </c>
      <c r="E180" s="34">
        <f>'Rådata-K'!O179</f>
        <v>0</v>
      </c>
      <c r="F180" s="34">
        <f>'Rådata-K'!P179</f>
        <v>0.11604714415231188</v>
      </c>
      <c r="G180" s="34">
        <f>'Rådata-K'!Q179</f>
        <v>0.16198247204593533</v>
      </c>
      <c r="H180" s="34">
        <f>'Rådata-K'!R179</f>
        <v>0.14259763851044505</v>
      </c>
      <c r="I180" s="34">
        <f>'Rådata-K'!S179</f>
        <v>0.90730643402399125</v>
      </c>
      <c r="J180" s="22">
        <f>'Rådata-K'!K179</f>
        <v>393000</v>
      </c>
      <c r="K180" s="22">
        <f>Tabell2[[#This Row],[NIBR11]]</f>
        <v>5</v>
      </c>
      <c r="L180" s="32">
        <f>IF(Tabell2[[#This Row],[ReisetidOslo]]&lt;=C$434,C$434,IF(Tabell2[[#This Row],[ReisetidOslo]]&gt;=C$435,C$435,Tabell2[[#This Row],[ReisetidOslo]]))</f>
        <v>225.46666666670001</v>
      </c>
      <c r="M180" s="32">
        <f>IF(Tabell2[[#This Row],[Beftettotal]]&lt;=D$434,D$434,IF(Tabell2[[#This Row],[Beftettotal]]&gt;=D$435,D$435,Tabell2[[#This Row],[Beftettotal]]))</f>
        <v>11.218089975251722</v>
      </c>
      <c r="N180" s="34">
        <f>IF(Tabell2[[#This Row],[Befvekst10]]&lt;=E$434,E$434,IF(Tabell2[[#This Row],[Befvekst10]]&gt;=E$435,E$435,Tabell2[[#This Row],[Befvekst10]]))</f>
        <v>0</v>
      </c>
      <c r="O180" s="34">
        <f>IF(Tabell2[[#This Row],[Kvinneandel]]&lt;=F$434,F$434,IF(Tabell2[[#This Row],[Kvinneandel]]&gt;=F$435,F$435,Tabell2[[#This Row],[Kvinneandel]]))</f>
        <v>0.11604714415231188</v>
      </c>
      <c r="P180" s="34">
        <f>IF(Tabell2[[#This Row],[Eldreandel]]&lt;=G$434,G$434,IF(Tabell2[[#This Row],[Eldreandel]]&gt;=G$435,G$435,Tabell2[[#This Row],[Eldreandel]]))</f>
        <v>0.16198247204593533</v>
      </c>
      <c r="Q180" s="34">
        <f>IF(Tabell2[[#This Row],[Sysselsettingsvekst10]]&lt;=H$434,H$434,IF(Tabell2[[#This Row],[Sysselsettingsvekst10]]&gt;=H$435,H$435,Tabell2[[#This Row],[Sysselsettingsvekst10]]))</f>
        <v>0.14259763851044505</v>
      </c>
      <c r="R180" s="34">
        <f>IF(Tabell2[[#This Row],[Yrkesaktivandel]]&lt;=I$434,I$434,IF(Tabell2[[#This Row],[Yrkesaktivandel]]&gt;=I$435,I$435,Tabell2[[#This Row],[Yrkesaktivandel]]))</f>
        <v>0.90730643402399125</v>
      </c>
      <c r="S180" s="22">
        <f>IF(Tabell2[[#This Row],[Inntekt]]&lt;=J$434,J$434,IF(Tabell2[[#This Row],[Inntekt]]&gt;=J$435,J$435,Tabell2[[#This Row],[Inntekt]]))</f>
        <v>393000</v>
      </c>
      <c r="T180" s="22">
        <f>IF(Tabell2[[#This Row],[NIBR11-T]]&lt;=K$437,100,IF(Tabell2[[#This Row],[NIBR11-T]]&gt;=K$436,0,100*(K$436-Tabell2[[#This Row],[NIBR11-T]])/K$439))</f>
        <v>60</v>
      </c>
      <c r="U180" s="7">
        <f>IF(Tabell2[[#This Row],[ReisetidOslo-T]]&lt;=L$437,100,IF(Tabell2[[#This Row],[ReisetidOslo-T]]&gt;=L$436,0,100*(L$436-Tabell2[[#This Row],[ReisetidOslo-T]])/L$439))</f>
        <v>24.127239488110146</v>
      </c>
      <c r="V180" s="7">
        <f>100-(M$436-Tabell2[[#This Row],[Beftettotal-T]])*100/M$439</f>
        <v>7.6493137495292132</v>
      </c>
      <c r="W180" s="7">
        <f>100-(N$436-Tabell2[[#This Row],[Befvekst10-T]])*100/N$439</f>
        <v>30.679357854931823</v>
      </c>
      <c r="X180" s="7">
        <f>100-(O$436-Tabell2[[#This Row],[Kvinneandel-T]])*100/O$439</f>
        <v>67.533758898403278</v>
      </c>
      <c r="Y180" s="7">
        <f>(P$436-Tabell2[[#This Row],[Eldreandel-T]])*100/P$439</f>
        <v>57.420092726197026</v>
      </c>
      <c r="Z180" s="7">
        <f>100-(Q$436-Tabell2[[#This Row],[Sysselsettingsvekst10-T]])*100/Q$439</f>
        <v>63.177192894759237</v>
      </c>
      <c r="AA180" s="7">
        <f>100-(R$436-Tabell2[[#This Row],[Yrkesaktivandel-T]])*100/R$439</f>
        <v>57.921311740588784</v>
      </c>
      <c r="AB180" s="7">
        <f>100-(S$436-Tabell2[[#This Row],[Inntekt-T]])*100/S$439</f>
        <v>71.232876712328761</v>
      </c>
      <c r="AC180" s="55">
        <f>Tabell2[[#This Row],[NIBR11-I]]*Vekter!$B$3</f>
        <v>12</v>
      </c>
      <c r="AD180" s="55">
        <f>Tabell2[[#This Row],[ReisetidOslo-I]]*Vekter!$C$3</f>
        <v>2.4127239488110148</v>
      </c>
      <c r="AE180" s="55">
        <f>Tabell2[[#This Row],[Beftettotal-I]]*Vekter!$D$3</f>
        <v>0.76493137495292141</v>
      </c>
      <c r="AF180" s="55">
        <f>Tabell2[[#This Row],[Befvekst10-I]]*Vekter!$E$3</f>
        <v>6.1358715709863647</v>
      </c>
      <c r="AG180" s="55">
        <f>Tabell2[[#This Row],[Kvinneandel-I]]*Vekter!$F$3</f>
        <v>3.3766879449201639</v>
      </c>
      <c r="AH180" s="55">
        <f>Tabell2[[#This Row],[Eldreandel-I]]*Vekter!$G$3</f>
        <v>2.8710046363098516</v>
      </c>
      <c r="AI180" s="55">
        <f>Tabell2[[#This Row],[Sysselsettingsvekst10-I]]*Vekter!$H$3</f>
        <v>6.3177192894759244</v>
      </c>
      <c r="AJ180" s="55">
        <f>Tabell2[[#This Row],[Yrkesaktivandel-I]]*Vekter!$J$3</f>
        <v>5.7921311740588788</v>
      </c>
      <c r="AK180" s="55">
        <f>Tabell2[[#This Row],[Inntekt-I]]*Vekter!$L$3</f>
        <v>7.1232876712328768</v>
      </c>
      <c r="AL180" s="56">
        <f>SUM(Tabell2[[#This Row],[NIBR11-v]:[Inntekt-v]])</f>
        <v>46.794357610747994</v>
      </c>
    </row>
    <row r="181" spans="1:38" x14ac:dyDescent="0.25">
      <c r="A181" s="2" t="s">
        <v>178</v>
      </c>
      <c r="B181">
        <f>'Rådata-K'!M180</f>
        <v>6</v>
      </c>
      <c r="C181" s="7">
        <f>'Rådata-K'!L180</f>
        <v>230.46666666670001</v>
      </c>
      <c r="D181" s="34">
        <f>'Rådata-K'!N180</f>
        <v>7.9501493560550411</v>
      </c>
      <c r="E181" s="34">
        <f>'Rådata-K'!O180</f>
        <v>3.7711728986896675E-2</v>
      </c>
      <c r="F181" s="34">
        <f>'Rådata-K'!P180</f>
        <v>0.11641515244841392</v>
      </c>
      <c r="G181" s="34">
        <f>'Rådata-K'!Q180</f>
        <v>0.14074530335694488</v>
      </c>
      <c r="H181" s="34">
        <f>'Rådata-K'!R180</f>
        <v>-7.4024226110363411E-2</v>
      </c>
      <c r="I181" s="34">
        <f>'Rådata-K'!S180</f>
        <v>0.91117318435754191</v>
      </c>
      <c r="J181" s="22">
        <f>'Rådata-K'!K180</f>
        <v>369900</v>
      </c>
      <c r="K181" s="22">
        <f>Tabell2[[#This Row],[NIBR11]]</f>
        <v>6</v>
      </c>
      <c r="L181" s="32">
        <f>IF(Tabell2[[#This Row],[ReisetidOslo]]&lt;=C$434,C$434,IF(Tabell2[[#This Row],[ReisetidOslo]]&gt;=C$435,C$435,Tabell2[[#This Row],[ReisetidOslo]]))</f>
        <v>230.46666666670001</v>
      </c>
      <c r="M181" s="32">
        <f>IF(Tabell2[[#This Row],[Beftettotal]]&lt;=D$434,D$434,IF(Tabell2[[#This Row],[Beftettotal]]&gt;=D$435,D$435,Tabell2[[#This Row],[Beftettotal]]))</f>
        <v>7.9501493560550411</v>
      </c>
      <c r="N181" s="34">
        <f>IF(Tabell2[[#This Row],[Befvekst10]]&lt;=E$434,E$434,IF(Tabell2[[#This Row],[Befvekst10]]&gt;=E$435,E$435,Tabell2[[#This Row],[Befvekst10]]))</f>
        <v>3.7711728986896675E-2</v>
      </c>
      <c r="O181" s="34">
        <f>IF(Tabell2[[#This Row],[Kvinneandel]]&lt;=F$434,F$434,IF(Tabell2[[#This Row],[Kvinneandel]]&gt;=F$435,F$435,Tabell2[[#This Row],[Kvinneandel]]))</f>
        <v>0.11641515244841392</v>
      </c>
      <c r="P181" s="34">
        <f>IF(Tabell2[[#This Row],[Eldreandel]]&lt;=G$434,G$434,IF(Tabell2[[#This Row],[Eldreandel]]&gt;=G$435,G$435,Tabell2[[#This Row],[Eldreandel]]))</f>
        <v>0.14074530335694488</v>
      </c>
      <c r="Q181" s="34">
        <f>IF(Tabell2[[#This Row],[Sysselsettingsvekst10]]&lt;=H$434,H$434,IF(Tabell2[[#This Row],[Sysselsettingsvekst10]]&gt;=H$435,H$435,Tabell2[[#This Row],[Sysselsettingsvekst10]]))</f>
        <v>-6.9733479337269061E-2</v>
      </c>
      <c r="R181" s="34">
        <f>IF(Tabell2[[#This Row],[Yrkesaktivandel]]&lt;=I$434,I$434,IF(Tabell2[[#This Row],[Yrkesaktivandel]]&gt;=I$435,I$435,Tabell2[[#This Row],[Yrkesaktivandel]]))</f>
        <v>0.91117318435754191</v>
      </c>
      <c r="S181" s="22">
        <f>IF(Tabell2[[#This Row],[Inntekt]]&lt;=J$434,J$434,IF(Tabell2[[#This Row],[Inntekt]]&gt;=J$435,J$435,Tabell2[[#This Row],[Inntekt]]))</f>
        <v>369900</v>
      </c>
      <c r="T181" s="22">
        <f>IF(Tabell2[[#This Row],[NIBR11-T]]&lt;=K$437,100,IF(Tabell2[[#This Row],[NIBR11-T]]&gt;=K$436,0,100*(K$436-Tabell2[[#This Row],[NIBR11-T]])/K$439))</f>
        <v>50</v>
      </c>
      <c r="U181" s="7">
        <f>IF(Tabell2[[#This Row],[ReisetidOslo-T]]&lt;=L$437,100,IF(Tabell2[[#This Row],[ReisetidOslo-T]]&gt;=L$436,0,100*(L$436-Tabell2[[#This Row],[ReisetidOslo-T]])/L$439))</f>
        <v>21.933455210231028</v>
      </c>
      <c r="V181" s="7">
        <f>100-(M$436-Tabell2[[#This Row],[Beftettotal-T]])*100/M$439</f>
        <v>5.1213303768948464</v>
      </c>
      <c r="W181" s="7">
        <f>100-(N$436-Tabell2[[#This Row],[Befvekst10-T]])*100/N$439</f>
        <v>45.863478467525923</v>
      </c>
      <c r="X181" s="7">
        <f>100-(O$436-Tabell2[[#This Row],[Kvinneandel-T]])*100/O$439</f>
        <v>68.50621400140345</v>
      </c>
      <c r="Y181" s="7">
        <f>(P$436-Tabell2[[#This Row],[Eldreandel-T]])*100/P$439</f>
        <v>80.69076148277432</v>
      </c>
      <c r="Z181" s="7">
        <f>100-(Q$436-Tabell2[[#This Row],[Sysselsettingsvekst10-T]])*100/Q$439</f>
        <v>0</v>
      </c>
      <c r="AA181" s="7">
        <f>100-(R$436-Tabell2[[#This Row],[Yrkesaktivandel-T]])*100/R$439</f>
        <v>60.894424166421338</v>
      </c>
      <c r="AB181" s="7">
        <f>100-(S$436-Tabell2[[#This Row],[Inntekt-T]])*100/S$439</f>
        <v>44.416066867889484</v>
      </c>
      <c r="AC181" s="55">
        <f>Tabell2[[#This Row],[NIBR11-I]]*Vekter!$B$3</f>
        <v>10</v>
      </c>
      <c r="AD181" s="55">
        <f>Tabell2[[#This Row],[ReisetidOslo-I]]*Vekter!$C$3</f>
        <v>2.1933455210231028</v>
      </c>
      <c r="AE181" s="55">
        <f>Tabell2[[#This Row],[Beftettotal-I]]*Vekter!$D$3</f>
        <v>0.5121330376894847</v>
      </c>
      <c r="AF181" s="55">
        <f>Tabell2[[#This Row],[Befvekst10-I]]*Vekter!$E$3</f>
        <v>9.1726956935051849</v>
      </c>
      <c r="AG181" s="55">
        <f>Tabell2[[#This Row],[Kvinneandel-I]]*Vekter!$F$3</f>
        <v>3.4253107000701726</v>
      </c>
      <c r="AH181" s="55">
        <f>Tabell2[[#This Row],[Eldreandel-I]]*Vekter!$G$3</f>
        <v>4.034538074138716</v>
      </c>
      <c r="AI181" s="55">
        <f>Tabell2[[#This Row],[Sysselsettingsvekst10-I]]*Vekter!$H$3</f>
        <v>0</v>
      </c>
      <c r="AJ181" s="55">
        <f>Tabell2[[#This Row],[Yrkesaktivandel-I]]*Vekter!$J$3</f>
        <v>6.0894424166421341</v>
      </c>
      <c r="AK181" s="55">
        <f>Tabell2[[#This Row],[Inntekt-I]]*Vekter!$L$3</f>
        <v>4.4416066867889485</v>
      </c>
      <c r="AL181" s="56">
        <f>SUM(Tabell2[[#This Row],[NIBR11-v]:[Inntekt-v]])</f>
        <v>39.869072129857749</v>
      </c>
    </row>
    <row r="182" spans="1:38" x14ac:dyDescent="0.25">
      <c r="A182" s="2" t="s">
        <v>179</v>
      </c>
      <c r="B182">
        <f>'Rådata-K'!M181</f>
        <v>2</v>
      </c>
      <c r="C182" s="7">
        <f>'Rådata-K'!L181</f>
        <v>189.85</v>
      </c>
      <c r="D182" s="34">
        <f>'Rådata-K'!N181</f>
        <v>4.3977496310870636</v>
      </c>
      <c r="E182" s="34">
        <f>'Rådata-K'!O181</f>
        <v>0.16159155501421041</v>
      </c>
      <c r="F182" s="34">
        <f>'Rådata-K'!P181</f>
        <v>0.12687871373645579</v>
      </c>
      <c r="G182" s="34">
        <f>'Rådata-K'!Q181</f>
        <v>0.11219853198182454</v>
      </c>
      <c r="H182" s="34">
        <f>'Rådata-K'!R181</f>
        <v>4.2870456663560041E-2</v>
      </c>
      <c r="I182" s="34">
        <f>'Rådata-K'!S181</f>
        <v>0.96701282834453273</v>
      </c>
      <c r="J182" s="22">
        <f>'Rådata-K'!K181</f>
        <v>418800</v>
      </c>
      <c r="K182" s="22">
        <f>Tabell2[[#This Row],[NIBR11]]</f>
        <v>2</v>
      </c>
      <c r="L182" s="32">
        <f>IF(Tabell2[[#This Row],[ReisetidOslo]]&lt;=C$434,C$434,IF(Tabell2[[#This Row],[ReisetidOslo]]&gt;=C$435,C$435,Tabell2[[#This Row],[ReisetidOslo]]))</f>
        <v>189.85</v>
      </c>
      <c r="M182" s="32">
        <f>IF(Tabell2[[#This Row],[Beftettotal]]&lt;=D$434,D$434,IF(Tabell2[[#This Row],[Beftettotal]]&gt;=D$435,D$435,Tabell2[[#This Row],[Beftettotal]]))</f>
        <v>4.3977496310870636</v>
      </c>
      <c r="N182" s="34">
        <f>IF(Tabell2[[#This Row],[Befvekst10]]&lt;=E$434,E$434,IF(Tabell2[[#This Row],[Befvekst10]]&gt;=E$435,E$435,Tabell2[[#This Row],[Befvekst10]]))</f>
        <v>0.16159155501421041</v>
      </c>
      <c r="O182" s="34">
        <f>IF(Tabell2[[#This Row],[Kvinneandel]]&lt;=F$434,F$434,IF(Tabell2[[#This Row],[Kvinneandel]]&gt;=F$435,F$435,Tabell2[[#This Row],[Kvinneandel]]))</f>
        <v>0.12687871373645579</v>
      </c>
      <c r="P182" s="34">
        <f>IF(Tabell2[[#This Row],[Eldreandel]]&lt;=G$434,G$434,IF(Tabell2[[#This Row],[Eldreandel]]&gt;=G$435,G$435,Tabell2[[#This Row],[Eldreandel]]))</f>
        <v>0.12312339657223466</v>
      </c>
      <c r="Q182" s="34">
        <f>IF(Tabell2[[#This Row],[Sysselsettingsvekst10]]&lt;=H$434,H$434,IF(Tabell2[[#This Row],[Sysselsettingsvekst10]]&gt;=H$435,H$435,Tabell2[[#This Row],[Sysselsettingsvekst10]]))</f>
        <v>4.2870456663560041E-2</v>
      </c>
      <c r="R182" s="34">
        <f>IF(Tabell2[[#This Row],[Yrkesaktivandel]]&lt;=I$434,I$434,IF(Tabell2[[#This Row],[Yrkesaktivandel]]&gt;=I$435,I$435,Tabell2[[#This Row],[Yrkesaktivandel]]))</f>
        <v>0.96203284815106216</v>
      </c>
      <c r="S182" s="22">
        <f>IF(Tabell2[[#This Row],[Inntekt]]&lt;=J$434,J$434,IF(Tabell2[[#This Row],[Inntekt]]&gt;=J$435,J$435,Tabell2[[#This Row],[Inntekt]]))</f>
        <v>417780</v>
      </c>
      <c r="T182" s="22">
        <f>IF(Tabell2[[#This Row],[NIBR11-T]]&lt;=K$437,100,IF(Tabell2[[#This Row],[NIBR11-T]]&gt;=K$436,0,100*(K$436-Tabell2[[#This Row],[NIBR11-T]])/K$439))</f>
        <v>90</v>
      </c>
      <c r="U182" s="7">
        <f>IF(Tabell2[[#This Row],[ReisetidOslo-T]]&lt;=L$437,100,IF(Tabell2[[#This Row],[ReisetidOslo-T]]&gt;=L$436,0,100*(L$436-Tabell2[[#This Row],[ReisetidOslo-T]])/L$439))</f>
        <v>39.754296160883683</v>
      </c>
      <c r="V182" s="7">
        <f>100-(M$436-Tabell2[[#This Row],[Beftettotal-T]])*100/M$439</f>
        <v>2.3732977520311067</v>
      </c>
      <c r="W182" s="7">
        <f>100-(N$436-Tabell2[[#This Row],[Befvekst10-T]])*100/N$439</f>
        <v>95.742024755326185</v>
      </c>
      <c r="X182" s="7">
        <f>100-(O$436-Tabell2[[#This Row],[Kvinneandel-T]])*100/O$439</f>
        <v>96.155980807991227</v>
      </c>
      <c r="Y182" s="7">
        <f>(P$436-Tabell2[[#This Row],[Eldreandel-T]])*100/P$439</f>
        <v>100</v>
      </c>
      <c r="Z182" s="7">
        <f>100-(Q$436-Tabell2[[#This Row],[Sysselsettingsvekst10-T]])*100/Q$439</f>
        <v>33.504276987491465</v>
      </c>
      <c r="AA182" s="7">
        <f>100-(R$436-Tabell2[[#This Row],[Yrkesaktivandel-T]])*100/R$439</f>
        <v>100</v>
      </c>
      <c r="AB182" s="7">
        <f>100-(S$436-Tabell2[[#This Row],[Inntekt-T]])*100/S$439</f>
        <v>100</v>
      </c>
      <c r="AC182" s="55">
        <f>Tabell2[[#This Row],[NIBR11-I]]*Vekter!$B$3</f>
        <v>18</v>
      </c>
      <c r="AD182" s="55">
        <f>Tabell2[[#This Row],[ReisetidOslo-I]]*Vekter!$C$3</f>
        <v>3.9754296160883684</v>
      </c>
      <c r="AE182" s="55">
        <f>Tabell2[[#This Row],[Beftettotal-I]]*Vekter!$D$3</f>
        <v>0.23732977520311069</v>
      </c>
      <c r="AF182" s="55">
        <f>Tabell2[[#This Row],[Befvekst10-I]]*Vekter!$E$3</f>
        <v>19.148404951065238</v>
      </c>
      <c r="AG182" s="55">
        <f>Tabell2[[#This Row],[Kvinneandel-I]]*Vekter!$F$3</f>
        <v>4.8077990403995621</v>
      </c>
      <c r="AH182" s="55">
        <f>Tabell2[[#This Row],[Eldreandel-I]]*Vekter!$G$3</f>
        <v>5</v>
      </c>
      <c r="AI182" s="55">
        <f>Tabell2[[#This Row],[Sysselsettingsvekst10-I]]*Vekter!$H$3</f>
        <v>3.3504276987491468</v>
      </c>
      <c r="AJ182" s="55">
        <f>Tabell2[[#This Row],[Yrkesaktivandel-I]]*Vekter!$J$3</f>
        <v>10</v>
      </c>
      <c r="AK182" s="55">
        <f>Tabell2[[#This Row],[Inntekt-I]]*Vekter!$L$3</f>
        <v>10</v>
      </c>
      <c r="AL182" s="56">
        <f>SUM(Tabell2[[#This Row],[NIBR11-v]:[Inntekt-v]])</f>
        <v>74.519391081505418</v>
      </c>
    </row>
    <row r="183" spans="1:38" x14ac:dyDescent="0.25">
      <c r="A183" s="2" t="s">
        <v>180</v>
      </c>
      <c r="B183">
        <f>'Rådata-K'!M182</f>
        <v>2</v>
      </c>
      <c r="C183" s="7">
        <f>'Rådata-K'!L182</f>
        <v>185.6666666667</v>
      </c>
      <c r="D183" s="34">
        <f>'Rådata-K'!N182</f>
        <v>71.81673708283266</v>
      </c>
      <c r="E183" s="34">
        <f>'Rådata-K'!O182</f>
        <v>0.25324675324675328</v>
      </c>
      <c r="F183" s="34">
        <f>'Rådata-K'!P182</f>
        <v>0.13730569948186527</v>
      </c>
      <c r="G183" s="34">
        <f>'Rådata-K'!Q182</f>
        <v>0.10519214162348878</v>
      </c>
      <c r="H183" s="34">
        <f>'Rådata-K'!R182</f>
        <v>0.23513808706506478</v>
      </c>
      <c r="I183" s="34">
        <f>'Rådata-K'!S182</f>
        <v>0.94894448061006231</v>
      </c>
      <c r="J183" s="22">
        <f>'Rådata-K'!K182</f>
        <v>417600</v>
      </c>
      <c r="K183" s="22">
        <f>Tabell2[[#This Row],[NIBR11]]</f>
        <v>2</v>
      </c>
      <c r="L183" s="32">
        <f>IF(Tabell2[[#This Row],[ReisetidOslo]]&lt;=C$434,C$434,IF(Tabell2[[#This Row],[ReisetidOslo]]&gt;=C$435,C$435,Tabell2[[#This Row],[ReisetidOslo]]))</f>
        <v>185.6666666667</v>
      </c>
      <c r="M183" s="32">
        <f>IF(Tabell2[[#This Row],[Beftettotal]]&lt;=D$434,D$434,IF(Tabell2[[#This Row],[Beftettotal]]&gt;=D$435,D$435,Tabell2[[#This Row],[Beftettotal]]))</f>
        <v>71.81673708283266</v>
      </c>
      <c r="N183" s="34">
        <f>IF(Tabell2[[#This Row],[Befvekst10]]&lt;=E$434,E$434,IF(Tabell2[[#This Row],[Befvekst10]]&gt;=E$435,E$435,Tabell2[[#This Row],[Befvekst10]]))</f>
        <v>0.17216678769030419</v>
      </c>
      <c r="O183" s="34">
        <f>IF(Tabell2[[#This Row],[Kvinneandel]]&lt;=F$434,F$434,IF(Tabell2[[#This Row],[Kvinneandel]]&gt;=F$435,F$435,Tabell2[[#This Row],[Kvinneandel]]))</f>
        <v>0.12833341426573511</v>
      </c>
      <c r="P183" s="34">
        <f>IF(Tabell2[[#This Row],[Eldreandel]]&lt;=G$434,G$434,IF(Tabell2[[#This Row],[Eldreandel]]&gt;=G$435,G$435,Tabell2[[#This Row],[Eldreandel]]))</f>
        <v>0.12312339657223466</v>
      </c>
      <c r="Q183" s="34">
        <f>IF(Tabell2[[#This Row],[Sysselsettingsvekst10]]&lt;=H$434,H$434,IF(Tabell2[[#This Row],[Sysselsettingsvekst10]]&gt;=H$435,H$435,Tabell2[[#This Row],[Sysselsettingsvekst10]]))</f>
        <v>0.23513808706506478</v>
      </c>
      <c r="R183" s="34">
        <f>IF(Tabell2[[#This Row],[Yrkesaktivandel]]&lt;=I$434,I$434,IF(Tabell2[[#This Row],[Yrkesaktivandel]]&gt;=I$435,I$435,Tabell2[[#This Row],[Yrkesaktivandel]]))</f>
        <v>0.94894448061006231</v>
      </c>
      <c r="S183" s="22">
        <f>IF(Tabell2[[#This Row],[Inntekt]]&lt;=J$434,J$434,IF(Tabell2[[#This Row],[Inntekt]]&gt;=J$435,J$435,Tabell2[[#This Row],[Inntekt]]))</f>
        <v>417600</v>
      </c>
      <c r="T183" s="22">
        <f>IF(Tabell2[[#This Row],[NIBR11-T]]&lt;=K$437,100,IF(Tabell2[[#This Row],[NIBR11-T]]&gt;=K$436,0,100*(K$436-Tabell2[[#This Row],[NIBR11-T]])/K$439))</f>
        <v>90</v>
      </c>
      <c r="U183" s="7">
        <f>IF(Tabell2[[#This Row],[ReisetidOslo-T]]&lt;=L$437,100,IF(Tabell2[[#This Row],[ReisetidOslo-T]]&gt;=L$436,0,100*(L$436-Tabell2[[#This Row],[ReisetidOslo-T]])/L$439))</f>
        <v>41.589762340027917</v>
      </c>
      <c r="V183" s="7">
        <f>100-(M$436-Tabell2[[#This Row],[Beftettotal-T]])*100/M$439</f>
        <v>54.526656438136392</v>
      </c>
      <c r="W183" s="7">
        <f>100-(N$436-Tabell2[[#This Row],[Befvekst10-T]])*100/N$439</f>
        <v>100</v>
      </c>
      <c r="X183" s="7">
        <f>100-(O$436-Tabell2[[#This Row],[Kvinneandel-T]])*100/O$439</f>
        <v>100</v>
      </c>
      <c r="Y183" s="7">
        <f>(P$436-Tabell2[[#This Row],[Eldreandel-T]])*100/P$439</f>
        <v>100</v>
      </c>
      <c r="Z183" s="7">
        <f>100-(Q$436-Tabell2[[#This Row],[Sysselsettingsvekst10-T]])*100/Q$439</f>
        <v>90.711761676598741</v>
      </c>
      <c r="AA183" s="7">
        <f>100-(R$436-Tabell2[[#This Row],[Yrkesaktivandel-T]])*100/R$439</f>
        <v>89.936462193493142</v>
      </c>
      <c r="AB183" s="7">
        <f>100-(S$436-Tabell2[[#This Row],[Inntekt-T]])*100/S$439</f>
        <v>99.79103784536801</v>
      </c>
      <c r="AC183" s="55">
        <f>Tabell2[[#This Row],[NIBR11-I]]*Vekter!$B$3</f>
        <v>18</v>
      </c>
      <c r="AD183" s="55">
        <f>Tabell2[[#This Row],[ReisetidOslo-I]]*Vekter!$C$3</f>
        <v>4.1589762340027923</v>
      </c>
      <c r="AE183" s="55">
        <f>Tabell2[[#This Row],[Beftettotal-I]]*Vekter!$D$3</f>
        <v>5.4526656438136394</v>
      </c>
      <c r="AF183" s="55">
        <f>Tabell2[[#This Row],[Befvekst10-I]]*Vekter!$E$3</f>
        <v>20</v>
      </c>
      <c r="AG183" s="55">
        <f>Tabell2[[#This Row],[Kvinneandel-I]]*Vekter!$F$3</f>
        <v>5</v>
      </c>
      <c r="AH183" s="55">
        <f>Tabell2[[#This Row],[Eldreandel-I]]*Vekter!$G$3</f>
        <v>5</v>
      </c>
      <c r="AI183" s="55">
        <f>Tabell2[[#This Row],[Sysselsettingsvekst10-I]]*Vekter!$H$3</f>
        <v>9.0711761676598748</v>
      </c>
      <c r="AJ183" s="55">
        <f>Tabell2[[#This Row],[Yrkesaktivandel-I]]*Vekter!$J$3</f>
        <v>8.9936462193493139</v>
      </c>
      <c r="AK183" s="55">
        <f>Tabell2[[#This Row],[Inntekt-I]]*Vekter!$L$3</f>
        <v>9.979103784536802</v>
      </c>
      <c r="AL183" s="56">
        <f>SUM(Tabell2[[#This Row],[NIBR11-v]:[Inntekt-v]])</f>
        <v>85.655568049362429</v>
      </c>
    </row>
    <row r="184" spans="1:38" x14ac:dyDescent="0.25">
      <c r="A184" s="2" t="s">
        <v>181</v>
      </c>
      <c r="B184">
        <f>'Rådata-K'!M183</f>
        <v>2</v>
      </c>
      <c r="C184" s="7">
        <f>'Rådata-K'!L183</f>
        <v>167.85</v>
      </c>
      <c r="D184" s="34">
        <f>'Rådata-K'!N183</f>
        <v>165.13349193761564</v>
      </c>
      <c r="E184" s="34">
        <f>'Rådata-K'!O183</f>
        <v>0.28928178315905329</v>
      </c>
      <c r="F184" s="34">
        <f>'Rådata-K'!P183</f>
        <v>0.13681233658822903</v>
      </c>
      <c r="G184" s="34">
        <f>'Rådata-K'!Q183</f>
        <v>0.10138199669174537</v>
      </c>
      <c r="H184" s="34">
        <f>'Rådata-K'!R183</f>
        <v>0.48783977110157362</v>
      </c>
      <c r="I184" s="34">
        <f>'Rådata-K'!S183</f>
        <v>0.95646183521631301</v>
      </c>
      <c r="J184" s="22">
        <f>'Rådata-K'!K183</f>
        <v>447700</v>
      </c>
      <c r="K184" s="22">
        <f>Tabell2[[#This Row],[NIBR11]]</f>
        <v>2</v>
      </c>
      <c r="L184" s="32">
        <f>IF(Tabell2[[#This Row],[ReisetidOslo]]&lt;=C$434,C$434,IF(Tabell2[[#This Row],[ReisetidOslo]]&gt;=C$435,C$435,Tabell2[[#This Row],[ReisetidOslo]]))</f>
        <v>167.85</v>
      </c>
      <c r="M184" s="32">
        <f>IF(Tabell2[[#This Row],[Beftettotal]]&lt;=D$434,D$434,IF(Tabell2[[#This Row],[Beftettotal]]&gt;=D$435,D$435,Tabell2[[#This Row],[Beftettotal]]))</f>
        <v>130.60042534801397</v>
      </c>
      <c r="N184" s="34">
        <f>IF(Tabell2[[#This Row],[Befvekst10]]&lt;=E$434,E$434,IF(Tabell2[[#This Row],[Befvekst10]]&gt;=E$435,E$435,Tabell2[[#This Row],[Befvekst10]]))</f>
        <v>0.17216678769030419</v>
      </c>
      <c r="O184" s="34">
        <f>IF(Tabell2[[#This Row],[Kvinneandel]]&lt;=F$434,F$434,IF(Tabell2[[#This Row],[Kvinneandel]]&gt;=F$435,F$435,Tabell2[[#This Row],[Kvinneandel]]))</f>
        <v>0.12833341426573511</v>
      </c>
      <c r="P184" s="34">
        <f>IF(Tabell2[[#This Row],[Eldreandel]]&lt;=G$434,G$434,IF(Tabell2[[#This Row],[Eldreandel]]&gt;=G$435,G$435,Tabell2[[#This Row],[Eldreandel]]))</f>
        <v>0.12312339657223466</v>
      </c>
      <c r="Q184" s="34">
        <f>IF(Tabell2[[#This Row],[Sysselsettingsvekst10]]&lt;=H$434,H$434,IF(Tabell2[[#This Row],[Sysselsettingsvekst10]]&gt;=H$435,H$435,Tabell2[[#This Row],[Sysselsettingsvekst10]]))</f>
        <v>0.26635476409167841</v>
      </c>
      <c r="R184" s="34">
        <f>IF(Tabell2[[#This Row],[Yrkesaktivandel]]&lt;=I$434,I$434,IF(Tabell2[[#This Row],[Yrkesaktivandel]]&gt;=I$435,I$435,Tabell2[[#This Row],[Yrkesaktivandel]]))</f>
        <v>0.95646183521631301</v>
      </c>
      <c r="S184" s="22">
        <f>IF(Tabell2[[#This Row],[Inntekt]]&lt;=J$434,J$434,IF(Tabell2[[#This Row],[Inntekt]]&gt;=J$435,J$435,Tabell2[[#This Row],[Inntekt]]))</f>
        <v>417780</v>
      </c>
      <c r="T184" s="22">
        <f>IF(Tabell2[[#This Row],[NIBR11-T]]&lt;=K$437,100,IF(Tabell2[[#This Row],[NIBR11-T]]&gt;=K$436,0,100*(K$436-Tabell2[[#This Row],[NIBR11-T]])/K$439))</f>
        <v>90</v>
      </c>
      <c r="U184" s="7">
        <f>IF(Tabell2[[#This Row],[ReisetidOslo-T]]&lt;=L$437,100,IF(Tabell2[[#This Row],[ReisetidOslo-T]]&gt;=L$436,0,100*(L$436-Tabell2[[#This Row],[ReisetidOslo-T]])/L$439))</f>
        <v>49.406946983551798</v>
      </c>
      <c r="V184" s="7">
        <f>100-(M$436-Tabell2[[#This Row],[Beftettotal-T]])*100/M$439</f>
        <v>100</v>
      </c>
      <c r="W184" s="7">
        <f>100-(N$436-Tabell2[[#This Row],[Befvekst10-T]])*100/N$439</f>
        <v>100</v>
      </c>
      <c r="X184" s="7">
        <f>100-(O$436-Tabell2[[#This Row],[Kvinneandel-T]])*100/O$439</f>
        <v>100</v>
      </c>
      <c r="Y184" s="7">
        <f>(P$436-Tabell2[[#This Row],[Eldreandel-T]])*100/P$439</f>
        <v>100</v>
      </c>
      <c r="Z184" s="7">
        <f>100-(Q$436-Tabell2[[#This Row],[Sysselsettingsvekst10-T]])*100/Q$439</f>
        <v>100</v>
      </c>
      <c r="AA184" s="7">
        <f>100-(R$436-Tabell2[[#This Row],[Yrkesaktivandel-T]])*100/R$439</f>
        <v>95.716494122451579</v>
      </c>
      <c r="AB184" s="7">
        <f>100-(S$436-Tabell2[[#This Row],[Inntekt-T]])*100/S$439</f>
        <v>100</v>
      </c>
      <c r="AC184" s="55">
        <f>Tabell2[[#This Row],[NIBR11-I]]*Vekter!$B$3</f>
        <v>18</v>
      </c>
      <c r="AD184" s="55">
        <f>Tabell2[[#This Row],[ReisetidOslo-I]]*Vekter!$C$3</f>
        <v>4.9406946983551805</v>
      </c>
      <c r="AE184" s="55">
        <f>Tabell2[[#This Row],[Beftettotal-I]]*Vekter!$D$3</f>
        <v>10</v>
      </c>
      <c r="AF184" s="55">
        <f>Tabell2[[#This Row],[Befvekst10-I]]*Vekter!$E$3</f>
        <v>20</v>
      </c>
      <c r="AG184" s="55">
        <f>Tabell2[[#This Row],[Kvinneandel-I]]*Vekter!$F$3</f>
        <v>5</v>
      </c>
      <c r="AH184" s="55">
        <f>Tabell2[[#This Row],[Eldreandel-I]]*Vekter!$G$3</f>
        <v>5</v>
      </c>
      <c r="AI184" s="55">
        <f>Tabell2[[#This Row],[Sysselsettingsvekst10-I]]*Vekter!$H$3</f>
        <v>10</v>
      </c>
      <c r="AJ184" s="55">
        <f>Tabell2[[#This Row],[Yrkesaktivandel-I]]*Vekter!$J$3</f>
        <v>9.5716494122451579</v>
      </c>
      <c r="AK184" s="55">
        <f>Tabell2[[#This Row],[Inntekt-I]]*Vekter!$L$3</f>
        <v>10</v>
      </c>
      <c r="AL184" s="56">
        <f>SUM(Tabell2[[#This Row],[NIBR11-v]:[Inntekt-v]])</f>
        <v>92.512344110600338</v>
      </c>
    </row>
    <row r="185" spans="1:38" x14ac:dyDescent="0.25">
      <c r="A185" s="2" t="s">
        <v>182</v>
      </c>
      <c r="B185">
        <f>'Rådata-K'!M184</f>
        <v>2</v>
      </c>
      <c r="C185" s="7">
        <f>'Rådata-K'!L184</f>
        <v>172.03333333329999</v>
      </c>
      <c r="D185" s="34">
        <f>'Rådata-K'!N184</f>
        <v>99.929035427698025</v>
      </c>
      <c r="E185" s="34">
        <f>'Rådata-K'!O184</f>
        <v>0.26588755964317823</v>
      </c>
      <c r="F185" s="34">
        <f>'Rådata-K'!P184</f>
        <v>0.14055500928657272</v>
      </c>
      <c r="G185" s="34">
        <f>'Rådata-K'!Q184</f>
        <v>0.10564842128263957</v>
      </c>
      <c r="H185" s="34">
        <f>'Rådata-K'!R184</f>
        <v>0.22725158890094566</v>
      </c>
      <c r="I185" s="34">
        <f>'Rådata-K'!S184</f>
        <v>0.93198529411764708</v>
      </c>
      <c r="J185" s="22">
        <f>'Rådata-K'!K184</f>
        <v>455100</v>
      </c>
      <c r="K185" s="22">
        <f>Tabell2[[#This Row],[NIBR11]]</f>
        <v>2</v>
      </c>
      <c r="L185" s="32">
        <f>IF(Tabell2[[#This Row],[ReisetidOslo]]&lt;=C$434,C$434,IF(Tabell2[[#This Row],[ReisetidOslo]]&gt;=C$435,C$435,Tabell2[[#This Row],[ReisetidOslo]]))</f>
        <v>172.03333333329999</v>
      </c>
      <c r="M185" s="32">
        <f>IF(Tabell2[[#This Row],[Beftettotal]]&lt;=D$434,D$434,IF(Tabell2[[#This Row],[Beftettotal]]&gt;=D$435,D$435,Tabell2[[#This Row],[Beftettotal]]))</f>
        <v>99.929035427698025</v>
      </c>
      <c r="N185" s="34">
        <f>IF(Tabell2[[#This Row],[Befvekst10]]&lt;=E$434,E$434,IF(Tabell2[[#This Row],[Befvekst10]]&gt;=E$435,E$435,Tabell2[[#This Row],[Befvekst10]]))</f>
        <v>0.17216678769030419</v>
      </c>
      <c r="O185" s="34">
        <f>IF(Tabell2[[#This Row],[Kvinneandel]]&lt;=F$434,F$434,IF(Tabell2[[#This Row],[Kvinneandel]]&gt;=F$435,F$435,Tabell2[[#This Row],[Kvinneandel]]))</f>
        <v>0.12833341426573511</v>
      </c>
      <c r="P185" s="34">
        <f>IF(Tabell2[[#This Row],[Eldreandel]]&lt;=G$434,G$434,IF(Tabell2[[#This Row],[Eldreandel]]&gt;=G$435,G$435,Tabell2[[#This Row],[Eldreandel]]))</f>
        <v>0.12312339657223466</v>
      </c>
      <c r="Q185" s="34">
        <f>IF(Tabell2[[#This Row],[Sysselsettingsvekst10]]&lt;=H$434,H$434,IF(Tabell2[[#This Row],[Sysselsettingsvekst10]]&gt;=H$435,H$435,Tabell2[[#This Row],[Sysselsettingsvekst10]]))</f>
        <v>0.22725158890094566</v>
      </c>
      <c r="R185" s="34">
        <f>IF(Tabell2[[#This Row],[Yrkesaktivandel]]&lt;=I$434,I$434,IF(Tabell2[[#This Row],[Yrkesaktivandel]]&gt;=I$435,I$435,Tabell2[[#This Row],[Yrkesaktivandel]]))</f>
        <v>0.93198529411764708</v>
      </c>
      <c r="S185" s="22">
        <f>IF(Tabell2[[#This Row],[Inntekt]]&lt;=J$434,J$434,IF(Tabell2[[#This Row],[Inntekt]]&gt;=J$435,J$435,Tabell2[[#This Row],[Inntekt]]))</f>
        <v>417780</v>
      </c>
      <c r="T185" s="22">
        <f>IF(Tabell2[[#This Row],[NIBR11-T]]&lt;=K$437,100,IF(Tabell2[[#This Row],[NIBR11-T]]&gt;=K$436,0,100*(K$436-Tabell2[[#This Row],[NIBR11-T]])/K$439))</f>
        <v>90</v>
      </c>
      <c r="U185" s="7">
        <f>IF(Tabell2[[#This Row],[ReisetidOslo-T]]&lt;=L$437,100,IF(Tabell2[[#This Row],[ReisetidOslo-T]]&gt;=L$436,0,100*(L$436-Tabell2[[#This Row],[ReisetidOslo-T]])/L$439))</f>
        <v>47.571480804407564</v>
      </c>
      <c r="V185" s="7">
        <f>100-(M$436-Tabell2[[#This Row],[Beftettotal-T]])*100/M$439</f>
        <v>76.273508986462616</v>
      </c>
      <c r="W185" s="7">
        <f>100-(N$436-Tabell2[[#This Row],[Befvekst10-T]])*100/N$439</f>
        <v>100</v>
      </c>
      <c r="X185" s="7">
        <f>100-(O$436-Tabell2[[#This Row],[Kvinneandel-T]])*100/O$439</f>
        <v>100</v>
      </c>
      <c r="Y185" s="7">
        <f>(P$436-Tabell2[[#This Row],[Eldreandel-T]])*100/P$439</f>
        <v>100</v>
      </c>
      <c r="Z185" s="7">
        <f>100-(Q$436-Tabell2[[#This Row],[Sysselsettingsvekst10-T]])*100/Q$439</f>
        <v>88.365205878140287</v>
      </c>
      <c r="AA185" s="7">
        <f>100-(R$436-Tabell2[[#This Row],[Yrkesaktivandel-T]])*100/R$439</f>
        <v>76.896683634448848</v>
      </c>
      <c r="AB185" s="7">
        <f>100-(S$436-Tabell2[[#This Row],[Inntekt-T]])*100/S$439</f>
        <v>100</v>
      </c>
      <c r="AC185" s="55">
        <f>Tabell2[[#This Row],[NIBR11-I]]*Vekter!$B$3</f>
        <v>18</v>
      </c>
      <c r="AD185" s="55">
        <f>Tabell2[[#This Row],[ReisetidOslo-I]]*Vekter!$C$3</f>
        <v>4.7571480804407562</v>
      </c>
      <c r="AE185" s="55">
        <f>Tabell2[[#This Row],[Beftettotal-I]]*Vekter!$D$3</f>
        <v>7.6273508986462621</v>
      </c>
      <c r="AF185" s="55">
        <f>Tabell2[[#This Row],[Befvekst10-I]]*Vekter!$E$3</f>
        <v>20</v>
      </c>
      <c r="AG185" s="55">
        <f>Tabell2[[#This Row],[Kvinneandel-I]]*Vekter!$F$3</f>
        <v>5</v>
      </c>
      <c r="AH185" s="55">
        <f>Tabell2[[#This Row],[Eldreandel-I]]*Vekter!$G$3</f>
        <v>5</v>
      </c>
      <c r="AI185" s="55">
        <f>Tabell2[[#This Row],[Sysselsettingsvekst10-I]]*Vekter!$H$3</f>
        <v>8.8365205878140287</v>
      </c>
      <c r="AJ185" s="55">
        <f>Tabell2[[#This Row],[Yrkesaktivandel-I]]*Vekter!$J$3</f>
        <v>7.689668363444885</v>
      </c>
      <c r="AK185" s="55">
        <f>Tabell2[[#This Row],[Inntekt-I]]*Vekter!$L$3</f>
        <v>10</v>
      </c>
      <c r="AL185" s="56">
        <f>SUM(Tabell2[[#This Row],[NIBR11-v]:[Inntekt-v]])</f>
        <v>86.910687930345929</v>
      </c>
    </row>
    <row r="186" spans="1:38" x14ac:dyDescent="0.25">
      <c r="A186" s="2" t="s">
        <v>183</v>
      </c>
      <c r="B186">
        <f>'Rådata-K'!M185</f>
        <v>2</v>
      </c>
      <c r="C186" s="7">
        <f>'Rådata-K'!L185</f>
        <v>171.65</v>
      </c>
      <c r="D186" s="34">
        <f>'Rådata-K'!N185</f>
        <v>18.771745286835504</v>
      </c>
      <c r="E186" s="34">
        <f>'Rådata-K'!O185</f>
        <v>0.25094359969804803</v>
      </c>
      <c r="F186" s="34">
        <f>'Rådata-K'!P185</f>
        <v>0.14499999999999999</v>
      </c>
      <c r="G186" s="34">
        <f>'Rådata-K'!Q185</f>
        <v>8.0172413793103442E-2</v>
      </c>
      <c r="H186" s="34">
        <f>'Rådata-K'!R185</f>
        <v>0.36895674300254444</v>
      </c>
      <c r="I186" s="34">
        <f>'Rådata-K'!S185</f>
        <v>0.93595217762596072</v>
      </c>
      <c r="J186" s="22">
        <f>'Rådata-K'!K185</f>
        <v>437100</v>
      </c>
      <c r="K186" s="22">
        <f>Tabell2[[#This Row],[NIBR11]]</f>
        <v>2</v>
      </c>
      <c r="L186" s="32">
        <f>IF(Tabell2[[#This Row],[ReisetidOslo]]&lt;=C$434,C$434,IF(Tabell2[[#This Row],[ReisetidOslo]]&gt;=C$435,C$435,Tabell2[[#This Row],[ReisetidOslo]]))</f>
        <v>171.65</v>
      </c>
      <c r="M186" s="32">
        <f>IF(Tabell2[[#This Row],[Beftettotal]]&lt;=D$434,D$434,IF(Tabell2[[#This Row],[Beftettotal]]&gt;=D$435,D$435,Tabell2[[#This Row],[Beftettotal]]))</f>
        <v>18.771745286835504</v>
      </c>
      <c r="N186" s="34">
        <f>IF(Tabell2[[#This Row],[Befvekst10]]&lt;=E$434,E$434,IF(Tabell2[[#This Row],[Befvekst10]]&gt;=E$435,E$435,Tabell2[[#This Row],[Befvekst10]]))</f>
        <v>0.17216678769030419</v>
      </c>
      <c r="O186" s="34">
        <f>IF(Tabell2[[#This Row],[Kvinneandel]]&lt;=F$434,F$434,IF(Tabell2[[#This Row],[Kvinneandel]]&gt;=F$435,F$435,Tabell2[[#This Row],[Kvinneandel]]))</f>
        <v>0.12833341426573511</v>
      </c>
      <c r="P186" s="34">
        <f>IF(Tabell2[[#This Row],[Eldreandel]]&lt;=G$434,G$434,IF(Tabell2[[#This Row],[Eldreandel]]&gt;=G$435,G$435,Tabell2[[#This Row],[Eldreandel]]))</f>
        <v>0.12312339657223466</v>
      </c>
      <c r="Q186" s="34">
        <f>IF(Tabell2[[#This Row],[Sysselsettingsvekst10]]&lt;=H$434,H$434,IF(Tabell2[[#This Row],[Sysselsettingsvekst10]]&gt;=H$435,H$435,Tabell2[[#This Row],[Sysselsettingsvekst10]]))</f>
        <v>0.26635476409167841</v>
      </c>
      <c r="R186" s="34">
        <f>IF(Tabell2[[#This Row],[Yrkesaktivandel]]&lt;=I$434,I$434,IF(Tabell2[[#This Row],[Yrkesaktivandel]]&gt;=I$435,I$435,Tabell2[[#This Row],[Yrkesaktivandel]]))</f>
        <v>0.93595217762596072</v>
      </c>
      <c r="S186" s="22">
        <f>IF(Tabell2[[#This Row],[Inntekt]]&lt;=J$434,J$434,IF(Tabell2[[#This Row],[Inntekt]]&gt;=J$435,J$435,Tabell2[[#This Row],[Inntekt]]))</f>
        <v>417780</v>
      </c>
      <c r="T186" s="22">
        <f>IF(Tabell2[[#This Row],[NIBR11-T]]&lt;=K$437,100,IF(Tabell2[[#This Row],[NIBR11-T]]&gt;=K$436,0,100*(K$436-Tabell2[[#This Row],[NIBR11-T]])/K$439))</f>
        <v>90</v>
      </c>
      <c r="U186" s="7">
        <f>IF(Tabell2[[#This Row],[ReisetidOslo-T]]&lt;=L$437,100,IF(Tabell2[[#This Row],[ReisetidOslo-T]]&gt;=L$436,0,100*(L$436-Tabell2[[#This Row],[ReisetidOslo-T]])/L$439))</f>
        <v>47.739670932363666</v>
      </c>
      <c r="V186" s="7">
        <f>100-(M$436-Tabell2[[#This Row],[Beftettotal-T]])*100/M$439</f>
        <v>13.492600778101078</v>
      </c>
      <c r="W186" s="7">
        <f>100-(N$436-Tabell2[[#This Row],[Befvekst10-T]])*100/N$439</f>
        <v>100</v>
      </c>
      <c r="X186" s="7">
        <f>100-(O$436-Tabell2[[#This Row],[Kvinneandel-T]])*100/O$439</f>
        <v>100</v>
      </c>
      <c r="Y186" s="7">
        <f>(P$436-Tabell2[[#This Row],[Eldreandel-T]])*100/P$439</f>
        <v>100</v>
      </c>
      <c r="Z186" s="7">
        <f>100-(Q$436-Tabell2[[#This Row],[Sysselsettingsvekst10-T]])*100/Q$439</f>
        <v>100</v>
      </c>
      <c r="AA186" s="7">
        <f>100-(R$436-Tabell2[[#This Row],[Yrkesaktivandel-T]])*100/R$439</f>
        <v>79.946787632129926</v>
      </c>
      <c r="AB186" s="7">
        <f>100-(S$436-Tabell2[[#This Row],[Inntekt-T]])*100/S$439</f>
        <v>100</v>
      </c>
      <c r="AC186" s="55">
        <f>Tabell2[[#This Row],[NIBR11-I]]*Vekter!$B$3</f>
        <v>18</v>
      </c>
      <c r="AD186" s="55">
        <f>Tabell2[[#This Row],[ReisetidOslo-I]]*Vekter!$C$3</f>
        <v>4.7739670932363669</v>
      </c>
      <c r="AE186" s="55">
        <f>Tabell2[[#This Row],[Beftettotal-I]]*Vekter!$D$3</f>
        <v>1.3492600778101078</v>
      </c>
      <c r="AF186" s="55">
        <f>Tabell2[[#This Row],[Befvekst10-I]]*Vekter!$E$3</f>
        <v>20</v>
      </c>
      <c r="AG186" s="55">
        <f>Tabell2[[#This Row],[Kvinneandel-I]]*Vekter!$F$3</f>
        <v>5</v>
      </c>
      <c r="AH186" s="55">
        <f>Tabell2[[#This Row],[Eldreandel-I]]*Vekter!$G$3</f>
        <v>5</v>
      </c>
      <c r="AI186" s="55">
        <f>Tabell2[[#This Row],[Sysselsettingsvekst10-I]]*Vekter!$H$3</f>
        <v>10</v>
      </c>
      <c r="AJ186" s="55">
        <f>Tabell2[[#This Row],[Yrkesaktivandel-I]]*Vekter!$J$3</f>
        <v>7.9946787632129928</v>
      </c>
      <c r="AK186" s="55">
        <f>Tabell2[[#This Row],[Inntekt-I]]*Vekter!$L$3</f>
        <v>10</v>
      </c>
      <c r="AL186" s="56">
        <f>SUM(Tabell2[[#This Row],[NIBR11-v]:[Inntekt-v]])</f>
        <v>82.117905934259454</v>
      </c>
    </row>
    <row r="187" spans="1:38" x14ac:dyDescent="0.25">
      <c r="A187" s="2" t="s">
        <v>184</v>
      </c>
      <c r="B187">
        <f>'Rådata-K'!M186</f>
        <v>2</v>
      </c>
      <c r="C187" s="7">
        <f>'Rådata-K'!L186</f>
        <v>154.28333333333001</v>
      </c>
      <c r="D187" s="34">
        <f>'Rådata-K'!N186</f>
        <v>374.26117338768381</v>
      </c>
      <c r="E187" s="34">
        <f>'Rådata-K'!O186</f>
        <v>0.29628882613957241</v>
      </c>
      <c r="F187" s="34">
        <f>'Rådata-K'!P186</f>
        <v>0.14197915045900109</v>
      </c>
      <c r="G187" s="34">
        <f>'Rådata-K'!Q186</f>
        <v>9.9813287692547062E-2</v>
      </c>
      <c r="H187" s="34">
        <f>'Rådata-K'!R186</f>
        <v>0.8182801904487087</v>
      </c>
      <c r="I187" s="34">
        <f>'Rådata-K'!S186</f>
        <v>0.91559361318568122</v>
      </c>
      <c r="J187" s="22">
        <f>'Rådata-K'!K186</f>
        <v>534000</v>
      </c>
      <c r="K187" s="22">
        <f>Tabell2[[#This Row],[NIBR11]]</f>
        <v>2</v>
      </c>
      <c r="L187" s="32">
        <f>IF(Tabell2[[#This Row],[ReisetidOslo]]&lt;=C$434,C$434,IF(Tabell2[[#This Row],[ReisetidOslo]]&gt;=C$435,C$435,Tabell2[[#This Row],[ReisetidOslo]]))</f>
        <v>154.28333333333001</v>
      </c>
      <c r="M187" s="32">
        <f>IF(Tabell2[[#This Row],[Beftettotal]]&lt;=D$434,D$434,IF(Tabell2[[#This Row],[Beftettotal]]&gt;=D$435,D$435,Tabell2[[#This Row],[Beftettotal]]))</f>
        <v>130.60042534801397</v>
      </c>
      <c r="N187" s="34">
        <f>IF(Tabell2[[#This Row],[Befvekst10]]&lt;=E$434,E$434,IF(Tabell2[[#This Row],[Befvekst10]]&gt;=E$435,E$435,Tabell2[[#This Row],[Befvekst10]]))</f>
        <v>0.17216678769030419</v>
      </c>
      <c r="O187" s="34">
        <f>IF(Tabell2[[#This Row],[Kvinneandel]]&lt;=F$434,F$434,IF(Tabell2[[#This Row],[Kvinneandel]]&gt;=F$435,F$435,Tabell2[[#This Row],[Kvinneandel]]))</f>
        <v>0.12833341426573511</v>
      </c>
      <c r="P187" s="34">
        <f>IF(Tabell2[[#This Row],[Eldreandel]]&lt;=G$434,G$434,IF(Tabell2[[#This Row],[Eldreandel]]&gt;=G$435,G$435,Tabell2[[#This Row],[Eldreandel]]))</f>
        <v>0.12312339657223466</v>
      </c>
      <c r="Q187" s="34">
        <f>IF(Tabell2[[#This Row],[Sysselsettingsvekst10]]&lt;=H$434,H$434,IF(Tabell2[[#This Row],[Sysselsettingsvekst10]]&gt;=H$435,H$435,Tabell2[[#This Row],[Sysselsettingsvekst10]]))</f>
        <v>0.26635476409167841</v>
      </c>
      <c r="R187" s="34">
        <f>IF(Tabell2[[#This Row],[Yrkesaktivandel]]&lt;=I$434,I$434,IF(Tabell2[[#This Row],[Yrkesaktivandel]]&gt;=I$435,I$435,Tabell2[[#This Row],[Yrkesaktivandel]]))</f>
        <v>0.91559361318568122</v>
      </c>
      <c r="S187" s="22">
        <f>IF(Tabell2[[#This Row],[Inntekt]]&lt;=J$434,J$434,IF(Tabell2[[#This Row],[Inntekt]]&gt;=J$435,J$435,Tabell2[[#This Row],[Inntekt]]))</f>
        <v>417780</v>
      </c>
      <c r="T187" s="22">
        <f>IF(Tabell2[[#This Row],[NIBR11-T]]&lt;=K$437,100,IF(Tabell2[[#This Row],[NIBR11-T]]&gt;=K$436,0,100*(K$436-Tabell2[[#This Row],[NIBR11-T]])/K$439))</f>
        <v>90</v>
      </c>
      <c r="U187" s="7">
        <f>IF(Tabell2[[#This Row],[ReisetidOslo-T]]&lt;=L$437,100,IF(Tabell2[[#This Row],[ReisetidOslo-T]]&gt;=L$436,0,100*(L$436-Tabell2[[#This Row],[ReisetidOslo-T]])/L$439))</f>
        <v>55.359414990865261</v>
      </c>
      <c r="V187" s="7">
        <f>100-(M$436-Tabell2[[#This Row],[Beftettotal-T]])*100/M$439</f>
        <v>100</v>
      </c>
      <c r="W187" s="7">
        <f>100-(N$436-Tabell2[[#This Row],[Befvekst10-T]])*100/N$439</f>
        <v>100</v>
      </c>
      <c r="X187" s="7">
        <f>100-(O$436-Tabell2[[#This Row],[Kvinneandel-T]])*100/O$439</f>
        <v>100</v>
      </c>
      <c r="Y187" s="7">
        <f>(P$436-Tabell2[[#This Row],[Eldreandel-T]])*100/P$439</f>
        <v>100</v>
      </c>
      <c r="Z187" s="7">
        <f>100-(Q$436-Tabell2[[#This Row],[Sysselsettingsvekst10-T]])*100/Q$439</f>
        <v>100</v>
      </c>
      <c r="AA187" s="7">
        <f>100-(R$436-Tabell2[[#This Row],[Yrkesaktivandel-T]])*100/R$439</f>
        <v>64.293255418187556</v>
      </c>
      <c r="AB187" s="7">
        <f>100-(S$436-Tabell2[[#This Row],[Inntekt-T]])*100/S$439</f>
        <v>100</v>
      </c>
      <c r="AC187" s="55">
        <f>Tabell2[[#This Row],[NIBR11-I]]*Vekter!$B$3</f>
        <v>18</v>
      </c>
      <c r="AD187" s="55">
        <f>Tabell2[[#This Row],[ReisetidOslo-I]]*Vekter!$C$3</f>
        <v>5.5359414990865261</v>
      </c>
      <c r="AE187" s="55">
        <f>Tabell2[[#This Row],[Beftettotal-I]]*Vekter!$D$3</f>
        <v>10</v>
      </c>
      <c r="AF187" s="55">
        <f>Tabell2[[#This Row],[Befvekst10-I]]*Vekter!$E$3</f>
        <v>20</v>
      </c>
      <c r="AG187" s="55">
        <f>Tabell2[[#This Row],[Kvinneandel-I]]*Vekter!$F$3</f>
        <v>5</v>
      </c>
      <c r="AH187" s="55">
        <f>Tabell2[[#This Row],[Eldreandel-I]]*Vekter!$G$3</f>
        <v>5</v>
      </c>
      <c r="AI187" s="55">
        <f>Tabell2[[#This Row],[Sysselsettingsvekst10-I]]*Vekter!$H$3</f>
        <v>10</v>
      </c>
      <c r="AJ187" s="55">
        <f>Tabell2[[#This Row],[Yrkesaktivandel-I]]*Vekter!$J$3</f>
        <v>6.4293255418187556</v>
      </c>
      <c r="AK187" s="55">
        <f>Tabell2[[#This Row],[Inntekt-I]]*Vekter!$L$3</f>
        <v>10</v>
      </c>
      <c r="AL187" s="56">
        <f>SUM(Tabell2[[#This Row],[NIBR11-v]:[Inntekt-v]])</f>
        <v>89.965267040905289</v>
      </c>
    </row>
    <row r="188" spans="1:38" x14ac:dyDescent="0.25">
      <c r="A188" s="2" t="s">
        <v>185</v>
      </c>
      <c r="B188">
        <f>'Rådata-K'!M187</f>
        <v>2</v>
      </c>
      <c r="C188" s="7">
        <f>'Rådata-K'!L187</f>
        <v>166.8333333333</v>
      </c>
      <c r="D188" s="34">
        <f>'Rådata-K'!N187</f>
        <v>427.19546742209633</v>
      </c>
      <c r="E188" s="34">
        <f>'Rådata-K'!O187</f>
        <v>0.16012748653698217</v>
      </c>
      <c r="F188" s="34">
        <f>'Rådata-K'!P187</f>
        <v>0.123342175066313</v>
      </c>
      <c r="G188" s="34">
        <f>'Rådata-K'!Q187</f>
        <v>0.1116900341038272</v>
      </c>
      <c r="H188" s="34">
        <f>'Rådata-K'!R187</f>
        <v>0.36656891495601163</v>
      </c>
      <c r="I188" s="34">
        <f>'Rådata-K'!S187</f>
        <v>0.92446393762183232</v>
      </c>
      <c r="J188" s="22">
        <f>'Rådata-K'!K187</f>
        <v>504500</v>
      </c>
      <c r="K188" s="22">
        <f>Tabell2[[#This Row],[NIBR11]]</f>
        <v>2</v>
      </c>
      <c r="L188" s="32">
        <f>IF(Tabell2[[#This Row],[ReisetidOslo]]&lt;=C$434,C$434,IF(Tabell2[[#This Row],[ReisetidOslo]]&gt;=C$435,C$435,Tabell2[[#This Row],[ReisetidOslo]]))</f>
        <v>166.8333333333</v>
      </c>
      <c r="M188" s="32">
        <f>IF(Tabell2[[#This Row],[Beftettotal]]&lt;=D$434,D$434,IF(Tabell2[[#This Row],[Beftettotal]]&gt;=D$435,D$435,Tabell2[[#This Row],[Beftettotal]]))</f>
        <v>130.60042534801397</v>
      </c>
      <c r="N188" s="34">
        <f>IF(Tabell2[[#This Row],[Befvekst10]]&lt;=E$434,E$434,IF(Tabell2[[#This Row],[Befvekst10]]&gt;=E$435,E$435,Tabell2[[#This Row],[Befvekst10]]))</f>
        <v>0.16012748653698217</v>
      </c>
      <c r="O188" s="34">
        <f>IF(Tabell2[[#This Row],[Kvinneandel]]&lt;=F$434,F$434,IF(Tabell2[[#This Row],[Kvinneandel]]&gt;=F$435,F$435,Tabell2[[#This Row],[Kvinneandel]]))</f>
        <v>0.123342175066313</v>
      </c>
      <c r="P188" s="34">
        <f>IF(Tabell2[[#This Row],[Eldreandel]]&lt;=G$434,G$434,IF(Tabell2[[#This Row],[Eldreandel]]&gt;=G$435,G$435,Tabell2[[#This Row],[Eldreandel]]))</f>
        <v>0.12312339657223466</v>
      </c>
      <c r="Q188" s="34">
        <f>IF(Tabell2[[#This Row],[Sysselsettingsvekst10]]&lt;=H$434,H$434,IF(Tabell2[[#This Row],[Sysselsettingsvekst10]]&gt;=H$435,H$435,Tabell2[[#This Row],[Sysselsettingsvekst10]]))</f>
        <v>0.26635476409167841</v>
      </c>
      <c r="R188" s="34">
        <f>IF(Tabell2[[#This Row],[Yrkesaktivandel]]&lt;=I$434,I$434,IF(Tabell2[[#This Row],[Yrkesaktivandel]]&gt;=I$435,I$435,Tabell2[[#This Row],[Yrkesaktivandel]]))</f>
        <v>0.92446393762183232</v>
      </c>
      <c r="S188" s="22">
        <f>IF(Tabell2[[#This Row],[Inntekt]]&lt;=J$434,J$434,IF(Tabell2[[#This Row],[Inntekt]]&gt;=J$435,J$435,Tabell2[[#This Row],[Inntekt]]))</f>
        <v>417780</v>
      </c>
      <c r="T188" s="22">
        <f>IF(Tabell2[[#This Row],[NIBR11-T]]&lt;=K$437,100,IF(Tabell2[[#This Row],[NIBR11-T]]&gt;=K$436,0,100*(K$436-Tabell2[[#This Row],[NIBR11-T]])/K$439))</f>
        <v>90</v>
      </c>
      <c r="U188" s="7">
        <f>IF(Tabell2[[#This Row],[ReisetidOslo-T]]&lt;=L$437,100,IF(Tabell2[[#This Row],[ReisetidOslo-T]]&gt;=L$436,0,100*(L$436-Tabell2[[#This Row],[ReisetidOslo-T]])/L$439))</f>
        <v>49.853016453401843</v>
      </c>
      <c r="V188" s="7">
        <f>100-(M$436-Tabell2[[#This Row],[Beftettotal-T]])*100/M$439</f>
        <v>100</v>
      </c>
      <c r="W188" s="7">
        <f>100-(N$436-Tabell2[[#This Row],[Befvekst10-T]])*100/N$439</f>
        <v>95.152537268527183</v>
      </c>
      <c r="X188" s="7">
        <f>100-(O$436-Tabell2[[#This Row],[Kvinneandel-T]])*100/O$439</f>
        <v>86.810742906658348</v>
      </c>
      <c r="Y188" s="7">
        <f>(P$436-Tabell2[[#This Row],[Eldreandel-T]])*100/P$439</f>
        <v>100</v>
      </c>
      <c r="Z188" s="7">
        <f>100-(Q$436-Tabell2[[#This Row],[Sysselsettingsvekst10-T]])*100/Q$439</f>
        <v>100</v>
      </c>
      <c r="AA188" s="7">
        <f>100-(R$436-Tabell2[[#This Row],[Yrkesaktivandel-T]])*100/R$439</f>
        <v>71.113574685625309</v>
      </c>
      <c r="AB188" s="7">
        <f>100-(S$436-Tabell2[[#This Row],[Inntekt-T]])*100/S$439</f>
        <v>100</v>
      </c>
      <c r="AC188" s="55">
        <f>Tabell2[[#This Row],[NIBR11-I]]*Vekter!$B$3</f>
        <v>18</v>
      </c>
      <c r="AD188" s="55">
        <f>Tabell2[[#This Row],[ReisetidOslo-I]]*Vekter!$C$3</f>
        <v>4.9853016453401846</v>
      </c>
      <c r="AE188" s="55">
        <f>Tabell2[[#This Row],[Beftettotal-I]]*Vekter!$D$3</f>
        <v>10</v>
      </c>
      <c r="AF188" s="55">
        <f>Tabell2[[#This Row],[Befvekst10-I]]*Vekter!$E$3</f>
        <v>19.030507453705436</v>
      </c>
      <c r="AG188" s="55">
        <f>Tabell2[[#This Row],[Kvinneandel-I]]*Vekter!$F$3</f>
        <v>4.3405371453329176</v>
      </c>
      <c r="AH188" s="55">
        <f>Tabell2[[#This Row],[Eldreandel-I]]*Vekter!$G$3</f>
        <v>5</v>
      </c>
      <c r="AI188" s="55">
        <f>Tabell2[[#This Row],[Sysselsettingsvekst10-I]]*Vekter!$H$3</f>
        <v>10</v>
      </c>
      <c r="AJ188" s="55">
        <f>Tabell2[[#This Row],[Yrkesaktivandel-I]]*Vekter!$J$3</f>
        <v>7.1113574685625309</v>
      </c>
      <c r="AK188" s="55">
        <f>Tabell2[[#This Row],[Inntekt-I]]*Vekter!$L$3</f>
        <v>10</v>
      </c>
      <c r="AL188" s="56">
        <f>SUM(Tabell2[[#This Row],[NIBR11-v]:[Inntekt-v]])</f>
        <v>88.467703712941073</v>
      </c>
    </row>
    <row r="189" spans="1:38" x14ac:dyDescent="0.25">
      <c r="A189" s="2" t="s">
        <v>186</v>
      </c>
      <c r="B189">
        <f>'Rådata-K'!M188</f>
        <v>2</v>
      </c>
      <c r="C189" s="7">
        <f>'Rådata-K'!L188</f>
        <v>198.3333333333</v>
      </c>
      <c r="D189" s="34">
        <f>'Rådata-K'!N188</f>
        <v>1.5486186782898532</v>
      </c>
      <c r="E189" s="34">
        <f>'Rådata-K'!O188</f>
        <v>9.6188747731397406E-2</v>
      </c>
      <c r="F189" s="34">
        <f>'Rådata-K'!P188</f>
        <v>9.9337748344370855E-2</v>
      </c>
      <c r="G189" s="34">
        <f>'Rådata-K'!Q188</f>
        <v>0.13245033112582782</v>
      </c>
      <c r="H189" s="34">
        <f>'Rådata-K'!R188</f>
        <v>0.15384615384615374</v>
      </c>
      <c r="I189" s="34">
        <f>'Rådata-K'!S188</f>
        <v>0.96189024390243905</v>
      </c>
      <c r="J189" s="22">
        <f>'Rådata-K'!K188</f>
        <v>413800</v>
      </c>
      <c r="K189" s="22">
        <f>Tabell2[[#This Row],[NIBR11]]</f>
        <v>2</v>
      </c>
      <c r="L189" s="32">
        <f>IF(Tabell2[[#This Row],[ReisetidOslo]]&lt;=C$434,C$434,IF(Tabell2[[#This Row],[ReisetidOslo]]&gt;=C$435,C$435,Tabell2[[#This Row],[ReisetidOslo]]))</f>
        <v>198.3333333333</v>
      </c>
      <c r="M189" s="32">
        <f>IF(Tabell2[[#This Row],[Beftettotal]]&lt;=D$434,D$434,IF(Tabell2[[#This Row],[Beftettotal]]&gt;=D$435,D$435,Tabell2[[#This Row],[Beftettotal]]))</f>
        <v>1.5486186782898532</v>
      </c>
      <c r="N189" s="34">
        <f>IF(Tabell2[[#This Row],[Befvekst10]]&lt;=E$434,E$434,IF(Tabell2[[#This Row],[Befvekst10]]&gt;=E$435,E$435,Tabell2[[#This Row],[Befvekst10]]))</f>
        <v>9.6188747731397406E-2</v>
      </c>
      <c r="O189" s="34">
        <f>IF(Tabell2[[#This Row],[Kvinneandel]]&lt;=F$434,F$434,IF(Tabell2[[#This Row],[Kvinneandel]]&gt;=F$435,F$435,Tabell2[[#This Row],[Kvinneandel]]))</f>
        <v>9.9337748344370855E-2</v>
      </c>
      <c r="P189" s="34">
        <f>IF(Tabell2[[#This Row],[Eldreandel]]&lt;=G$434,G$434,IF(Tabell2[[#This Row],[Eldreandel]]&gt;=G$435,G$435,Tabell2[[#This Row],[Eldreandel]]))</f>
        <v>0.13245033112582782</v>
      </c>
      <c r="Q189" s="34">
        <f>IF(Tabell2[[#This Row],[Sysselsettingsvekst10]]&lt;=H$434,H$434,IF(Tabell2[[#This Row],[Sysselsettingsvekst10]]&gt;=H$435,H$435,Tabell2[[#This Row],[Sysselsettingsvekst10]]))</f>
        <v>0.15384615384615374</v>
      </c>
      <c r="R189" s="34">
        <f>IF(Tabell2[[#This Row],[Yrkesaktivandel]]&lt;=I$434,I$434,IF(Tabell2[[#This Row],[Yrkesaktivandel]]&gt;=I$435,I$435,Tabell2[[#This Row],[Yrkesaktivandel]]))</f>
        <v>0.96189024390243905</v>
      </c>
      <c r="S189" s="22">
        <f>IF(Tabell2[[#This Row],[Inntekt]]&lt;=J$434,J$434,IF(Tabell2[[#This Row],[Inntekt]]&gt;=J$435,J$435,Tabell2[[#This Row],[Inntekt]]))</f>
        <v>413800</v>
      </c>
      <c r="T189" s="22">
        <f>IF(Tabell2[[#This Row],[NIBR11-T]]&lt;=K$437,100,IF(Tabell2[[#This Row],[NIBR11-T]]&gt;=K$436,0,100*(K$436-Tabell2[[#This Row],[NIBR11-T]])/K$439))</f>
        <v>90</v>
      </c>
      <c r="U189" s="7">
        <f>IF(Tabell2[[#This Row],[ReisetidOslo-T]]&lt;=L$437,100,IF(Tabell2[[#This Row],[ReisetidOslo-T]]&gt;=L$436,0,100*(L$436-Tabell2[[#This Row],[ReisetidOslo-T]])/L$439))</f>
        <v>36.032175502763401</v>
      </c>
      <c r="V189" s="7">
        <f>100-(M$436-Tabell2[[#This Row],[Beftettotal-T]])*100/M$439</f>
        <v>0.16929329955735284</v>
      </c>
      <c r="W189" s="7">
        <f>100-(N$436-Tabell2[[#This Row],[Befvekst10-T]])*100/N$439</f>
        <v>69.408463795298672</v>
      </c>
      <c r="X189" s="7">
        <f>100-(O$436-Tabell2[[#This Row],[Kvinneandel-T]])*100/O$439</f>
        <v>23.379490112636503</v>
      </c>
      <c r="Y189" s="7">
        <f>(P$436-Tabell2[[#This Row],[Eldreandel-T]])*100/P$439</f>
        <v>89.779993383795116</v>
      </c>
      <c r="Z189" s="7">
        <f>100-(Q$436-Tabell2[[#This Row],[Sysselsettingsvekst10-T]])*100/Q$439</f>
        <v>66.524086323980526</v>
      </c>
      <c r="AA189" s="7">
        <f>100-(R$436-Tabell2[[#This Row],[Yrkesaktivandel-T]])*100/R$439</f>
        <v>99.890352769901085</v>
      </c>
      <c r="AB189" s="7">
        <f>100-(S$436-Tabell2[[#This Row],[Inntekt-T]])*100/S$439</f>
        <v>95.37961458091479</v>
      </c>
      <c r="AC189" s="55">
        <f>Tabell2[[#This Row],[NIBR11-I]]*Vekter!$B$3</f>
        <v>18</v>
      </c>
      <c r="AD189" s="55">
        <f>Tabell2[[#This Row],[ReisetidOslo-I]]*Vekter!$C$3</f>
        <v>3.6032175502763404</v>
      </c>
      <c r="AE189" s="55">
        <f>Tabell2[[#This Row],[Beftettotal-I]]*Vekter!$D$3</f>
        <v>1.6929329955735286E-2</v>
      </c>
      <c r="AF189" s="55">
        <f>Tabell2[[#This Row],[Befvekst10-I]]*Vekter!$E$3</f>
        <v>13.881692759059735</v>
      </c>
      <c r="AG189" s="55">
        <f>Tabell2[[#This Row],[Kvinneandel-I]]*Vekter!$F$3</f>
        <v>1.1689745056318253</v>
      </c>
      <c r="AH189" s="55">
        <f>Tabell2[[#This Row],[Eldreandel-I]]*Vekter!$G$3</f>
        <v>4.4889996691897558</v>
      </c>
      <c r="AI189" s="55">
        <f>Tabell2[[#This Row],[Sysselsettingsvekst10-I]]*Vekter!$H$3</f>
        <v>6.6524086323980534</v>
      </c>
      <c r="AJ189" s="55">
        <f>Tabell2[[#This Row],[Yrkesaktivandel-I]]*Vekter!$J$3</f>
        <v>9.9890352769901085</v>
      </c>
      <c r="AK189" s="55">
        <f>Tabell2[[#This Row],[Inntekt-I]]*Vekter!$L$3</f>
        <v>9.5379614580914787</v>
      </c>
      <c r="AL189" s="56">
        <f>SUM(Tabell2[[#This Row],[NIBR11-v]:[Inntekt-v]])</f>
        <v>67.339219181593023</v>
      </c>
    </row>
    <row r="190" spans="1:38" x14ac:dyDescent="0.25">
      <c r="A190" s="2" t="s">
        <v>187</v>
      </c>
      <c r="B190">
        <f>'Rådata-K'!M189</f>
        <v>2</v>
      </c>
      <c r="C190" s="7">
        <f>'Rådata-K'!L189</f>
        <v>206.5666666667</v>
      </c>
      <c r="D190" s="34">
        <f>'Rådata-K'!N189</f>
        <v>56.821307417254971</v>
      </c>
      <c r="E190" s="34">
        <f>'Rådata-K'!O189</f>
        <v>0.18714682501676094</v>
      </c>
      <c r="F190" s="34">
        <f>'Rådata-K'!P189</f>
        <v>0.13037515127067367</v>
      </c>
      <c r="G190" s="34">
        <f>'Rådata-K'!Q189</f>
        <v>0.12545381202097619</v>
      </c>
      <c r="H190" s="34">
        <f>'Rådata-K'!R189</f>
        <v>0.29718394248052715</v>
      </c>
      <c r="I190" s="34">
        <f>'Rådata-K'!S189</f>
        <v>0.89278116579208622</v>
      </c>
      <c r="J190" s="22">
        <f>'Rådata-K'!K189</f>
        <v>427100</v>
      </c>
      <c r="K190" s="22">
        <f>Tabell2[[#This Row],[NIBR11]]</f>
        <v>2</v>
      </c>
      <c r="L190" s="32">
        <f>IF(Tabell2[[#This Row],[ReisetidOslo]]&lt;=C$434,C$434,IF(Tabell2[[#This Row],[ReisetidOslo]]&gt;=C$435,C$435,Tabell2[[#This Row],[ReisetidOslo]]))</f>
        <v>206.5666666667</v>
      </c>
      <c r="M190" s="32">
        <f>IF(Tabell2[[#This Row],[Beftettotal]]&lt;=D$434,D$434,IF(Tabell2[[#This Row],[Beftettotal]]&gt;=D$435,D$435,Tabell2[[#This Row],[Beftettotal]]))</f>
        <v>56.821307417254971</v>
      </c>
      <c r="N190" s="34">
        <f>IF(Tabell2[[#This Row],[Befvekst10]]&lt;=E$434,E$434,IF(Tabell2[[#This Row],[Befvekst10]]&gt;=E$435,E$435,Tabell2[[#This Row],[Befvekst10]]))</f>
        <v>0.17216678769030419</v>
      </c>
      <c r="O190" s="34">
        <f>IF(Tabell2[[#This Row],[Kvinneandel]]&lt;=F$434,F$434,IF(Tabell2[[#This Row],[Kvinneandel]]&gt;=F$435,F$435,Tabell2[[#This Row],[Kvinneandel]]))</f>
        <v>0.12833341426573511</v>
      </c>
      <c r="P190" s="34">
        <f>IF(Tabell2[[#This Row],[Eldreandel]]&lt;=G$434,G$434,IF(Tabell2[[#This Row],[Eldreandel]]&gt;=G$435,G$435,Tabell2[[#This Row],[Eldreandel]]))</f>
        <v>0.12545381202097619</v>
      </c>
      <c r="Q190" s="34">
        <f>IF(Tabell2[[#This Row],[Sysselsettingsvekst10]]&lt;=H$434,H$434,IF(Tabell2[[#This Row],[Sysselsettingsvekst10]]&gt;=H$435,H$435,Tabell2[[#This Row],[Sysselsettingsvekst10]]))</f>
        <v>0.26635476409167841</v>
      </c>
      <c r="R190" s="34">
        <f>IF(Tabell2[[#This Row],[Yrkesaktivandel]]&lt;=I$434,I$434,IF(Tabell2[[#This Row],[Yrkesaktivandel]]&gt;=I$435,I$435,Tabell2[[#This Row],[Yrkesaktivandel]]))</f>
        <v>0.89278116579208622</v>
      </c>
      <c r="S190" s="22">
        <f>IF(Tabell2[[#This Row],[Inntekt]]&lt;=J$434,J$434,IF(Tabell2[[#This Row],[Inntekt]]&gt;=J$435,J$435,Tabell2[[#This Row],[Inntekt]]))</f>
        <v>417780</v>
      </c>
      <c r="T190" s="22">
        <f>IF(Tabell2[[#This Row],[NIBR11-T]]&lt;=K$437,100,IF(Tabell2[[#This Row],[NIBR11-T]]&gt;=K$436,0,100*(K$436-Tabell2[[#This Row],[NIBR11-T]])/K$439))</f>
        <v>90</v>
      </c>
      <c r="U190" s="7">
        <f>IF(Tabell2[[#This Row],[ReisetidOslo-T]]&lt;=L$437,100,IF(Tabell2[[#This Row],[ReisetidOslo-T]]&gt;=L$436,0,100*(L$436-Tabell2[[#This Row],[ReisetidOslo-T]])/L$439))</f>
        <v>32.419744058493208</v>
      </c>
      <c r="V190" s="7">
        <f>100-(M$436-Tabell2[[#This Row],[Beftettotal-T]])*100/M$439</f>
        <v>42.92663022058322</v>
      </c>
      <c r="W190" s="7">
        <f>100-(N$436-Tabell2[[#This Row],[Befvekst10-T]])*100/N$439</f>
        <v>100</v>
      </c>
      <c r="X190" s="7">
        <f>100-(O$436-Tabell2[[#This Row],[Kvinneandel-T]])*100/O$439</f>
        <v>100</v>
      </c>
      <c r="Y190" s="7">
        <f>(P$436-Tabell2[[#This Row],[Eldreandel-T]])*100/P$439</f>
        <v>97.446442754820325</v>
      </c>
      <c r="Z190" s="7">
        <f>100-(Q$436-Tabell2[[#This Row],[Sysselsettingsvekst10-T]])*100/Q$439</f>
        <v>100</v>
      </c>
      <c r="AA190" s="7">
        <f>100-(R$436-Tabell2[[#This Row],[Yrkesaktivandel-T]])*100/R$439</f>
        <v>46.752952849112951</v>
      </c>
      <c r="AB190" s="7">
        <f>100-(S$436-Tabell2[[#This Row],[Inntekt-T]])*100/S$439</f>
        <v>100</v>
      </c>
      <c r="AC190" s="55">
        <f>Tabell2[[#This Row],[NIBR11-I]]*Vekter!$B$3</f>
        <v>18</v>
      </c>
      <c r="AD190" s="55">
        <f>Tabell2[[#This Row],[ReisetidOslo-I]]*Vekter!$C$3</f>
        <v>3.2419744058493212</v>
      </c>
      <c r="AE190" s="55">
        <f>Tabell2[[#This Row],[Beftettotal-I]]*Vekter!$D$3</f>
        <v>4.2926630220583224</v>
      </c>
      <c r="AF190" s="55">
        <f>Tabell2[[#This Row],[Befvekst10-I]]*Vekter!$E$3</f>
        <v>20</v>
      </c>
      <c r="AG190" s="55">
        <f>Tabell2[[#This Row],[Kvinneandel-I]]*Vekter!$F$3</f>
        <v>5</v>
      </c>
      <c r="AH190" s="55">
        <f>Tabell2[[#This Row],[Eldreandel-I]]*Vekter!$G$3</f>
        <v>4.8723221377410164</v>
      </c>
      <c r="AI190" s="55">
        <f>Tabell2[[#This Row],[Sysselsettingsvekst10-I]]*Vekter!$H$3</f>
        <v>10</v>
      </c>
      <c r="AJ190" s="55">
        <f>Tabell2[[#This Row],[Yrkesaktivandel-I]]*Vekter!$J$3</f>
        <v>4.6752952849112956</v>
      </c>
      <c r="AK190" s="55">
        <f>Tabell2[[#This Row],[Inntekt-I]]*Vekter!$L$3</f>
        <v>10</v>
      </c>
      <c r="AL190" s="56">
        <f>SUM(Tabell2[[#This Row],[NIBR11-v]:[Inntekt-v]])</f>
        <v>80.082254850559963</v>
      </c>
    </row>
    <row r="191" spans="1:38" x14ac:dyDescent="0.25">
      <c r="A191" s="2" t="s">
        <v>188</v>
      </c>
      <c r="B191">
        <f>'Rådata-K'!M190</f>
        <v>11</v>
      </c>
      <c r="C191" s="7">
        <f>'Rådata-K'!L190</f>
        <v>248.9</v>
      </c>
      <c r="D191" s="34">
        <f>'Rådata-K'!N190</f>
        <v>2.5578148821660149</v>
      </c>
      <c r="E191" s="34">
        <f>'Rådata-K'!O190</f>
        <v>1.7909356725146264E-2</v>
      </c>
      <c r="F191" s="34">
        <f>'Rådata-K'!P190</f>
        <v>0.10556552962298026</v>
      </c>
      <c r="G191" s="34">
        <f>'Rådata-K'!Q190</f>
        <v>0.15368043087971275</v>
      </c>
      <c r="H191" s="34">
        <f>'Rådata-K'!R190</f>
        <v>-6.8820224719101097E-2</v>
      </c>
      <c r="I191" s="34">
        <f>'Rådata-K'!S190</f>
        <v>0.98202396804260983</v>
      </c>
      <c r="J191" s="22">
        <f>'Rådata-K'!K190</f>
        <v>415200</v>
      </c>
      <c r="K191" s="22">
        <f>Tabell2[[#This Row],[NIBR11]]</f>
        <v>11</v>
      </c>
      <c r="L191" s="32">
        <f>IF(Tabell2[[#This Row],[ReisetidOslo]]&lt;=C$434,C$434,IF(Tabell2[[#This Row],[ReisetidOslo]]&gt;=C$435,C$435,Tabell2[[#This Row],[ReisetidOslo]]))</f>
        <v>248.9</v>
      </c>
      <c r="M191" s="32">
        <f>IF(Tabell2[[#This Row],[Beftettotal]]&lt;=D$434,D$434,IF(Tabell2[[#This Row],[Beftettotal]]&gt;=D$435,D$435,Tabell2[[#This Row],[Beftettotal]]))</f>
        <v>2.5578148821660149</v>
      </c>
      <c r="N191" s="34">
        <f>IF(Tabell2[[#This Row],[Befvekst10]]&lt;=E$434,E$434,IF(Tabell2[[#This Row],[Befvekst10]]&gt;=E$435,E$435,Tabell2[[#This Row],[Befvekst10]]))</f>
        <v>1.7909356725146264E-2</v>
      </c>
      <c r="O191" s="34">
        <f>IF(Tabell2[[#This Row],[Kvinneandel]]&lt;=F$434,F$434,IF(Tabell2[[#This Row],[Kvinneandel]]&gt;=F$435,F$435,Tabell2[[#This Row],[Kvinneandel]]))</f>
        <v>0.10556552962298026</v>
      </c>
      <c r="P191" s="34">
        <f>IF(Tabell2[[#This Row],[Eldreandel]]&lt;=G$434,G$434,IF(Tabell2[[#This Row],[Eldreandel]]&gt;=G$435,G$435,Tabell2[[#This Row],[Eldreandel]]))</f>
        <v>0.15368043087971275</v>
      </c>
      <c r="Q191" s="34">
        <f>IF(Tabell2[[#This Row],[Sysselsettingsvekst10]]&lt;=H$434,H$434,IF(Tabell2[[#This Row],[Sysselsettingsvekst10]]&gt;=H$435,H$435,Tabell2[[#This Row],[Sysselsettingsvekst10]]))</f>
        <v>-6.8820224719101097E-2</v>
      </c>
      <c r="R191" s="34">
        <f>IF(Tabell2[[#This Row],[Yrkesaktivandel]]&lt;=I$434,I$434,IF(Tabell2[[#This Row],[Yrkesaktivandel]]&gt;=I$435,I$435,Tabell2[[#This Row],[Yrkesaktivandel]]))</f>
        <v>0.96203284815106216</v>
      </c>
      <c r="S191" s="22">
        <f>IF(Tabell2[[#This Row],[Inntekt]]&lt;=J$434,J$434,IF(Tabell2[[#This Row],[Inntekt]]&gt;=J$435,J$435,Tabell2[[#This Row],[Inntekt]]))</f>
        <v>415200</v>
      </c>
      <c r="T191" s="22">
        <f>IF(Tabell2[[#This Row],[NIBR11-T]]&lt;=K$437,100,IF(Tabell2[[#This Row],[NIBR11-T]]&gt;=K$436,0,100*(K$436-Tabell2[[#This Row],[NIBR11-T]])/K$439))</f>
        <v>0</v>
      </c>
      <c r="U191" s="7">
        <f>IF(Tabell2[[#This Row],[ReisetidOslo-T]]&lt;=L$437,100,IF(Tabell2[[#This Row],[ReisetidOslo-T]]&gt;=L$436,0,100*(L$436-Tabell2[[#This Row],[ReisetidOslo-T]])/L$439))</f>
        <v>13.845703839131309</v>
      </c>
      <c r="V191" s="7">
        <f>100-(M$436-Tabell2[[#This Row],[Beftettotal-T]])*100/M$439</f>
        <v>0.9499779938073516</v>
      </c>
      <c r="W191" s="7">
        <f>100-(N$436-Tabell2[[#This Row],[Befvekst10-T]])*100/N$439</f>
        <v>37.890319534866507</v>
      </c>
      <c r="X191" s="7">
        <f>100-(O$436-Tabell2[[#This Row],[Kvinneandel-T]])*100/O$439</f>
        <v>39.836286736246436</v>
      </c>
      <c r="Y191" s="7">
        <f>(P$436-Tabell2[[#This Row],[Eldreandel-T]])*100/P$439</f>
        <v>66.517070426561943</v>
      </c>
      <c r="Z191" s="7">
        <f>100-(Q$436-Tabell2[[#This Row],[Sysselsettingsvekst10-T]])*100/Q$439</f>
        <v>0.27173060528703274</v>
      </c>
      <c r="AA191" s="7">
        <f>100-(R$436-Tabell2[[#This Row],[Yrkesaktivandel-T]])*100/R$439</f>
        <v>100</v>
      </c>
      <c r="AB191" s="7">
        <f>100-(S$436-Tabell2[[#This Row],[Inntekt-T]])*100/S$439</f>
        <v>97.004875783608085</v>
      </c>
      <c r="AC191" s="55">
        <f>Tabell2[[#This Row],[NIBR11-I]]*Vekter!$B$3</f>
        <v>0</v>
      </c>
      <c r="AD191" s="55">
        <f>Tabell2[[#This Row],[ReisetidOslo-I]]*Vekter!$C$3</f>
        <v>1.3845703839131309</v>
      </c>
      <c r="AE191" s="55">
        <f>Tabell2[[#This Row],[Beftettotal-I]]*Vekter!$D$3</f>
        <v>9.499779938073516E-2</v>
      </c>
      <c r="AF191" s="55">
        <f>Tabell2[[#This Row],[Befvekst10-I]]*Vekter!$E$3</f>
        <v>7.578063906973302</v>
      </c>
      <c r="AG191" s="55">
        <f>Tabell2[[#This Row],[Kvinneandel-I]]*Vekter!$F$3</f>
        <v>1.9918143368123218</v>
      </c>
      <c r="AH191" s="55">
        <f>Tabell2[[#This Row],[Eldreandel-I]]*Vekter!$G$3</f>
        <v>3.3258535213280975</v>
      </c>
      <c r="AI191" s="55">
        <f>Tabell2[[#This Row],[Sysselsettingsvekst10-I]]*Vekter!$H$3</f>
        <v>2.7173060528703274E-2</v>
      </c>
      <c r="AJ191" s="55">
        <f>Tabell2[[#This Row],[Yrkesaktivandel-I]]*Vekter!$J$3</f>
        <v>10</v>
      </c>
      <c r="AK191" s="55">
        <f>Tabell2[[#This Row],[Inntekt-I]]*Vekter!$L$3</f>
        <v>9.7004875783608089</v>
      </c>
      <c r="AL191" s="56">
        <f>SUM(Tabell2[[#This Row],[NIBR11-v]:[Inntekt-v]])</f>
        <v>34.102960587297098</v>
      </c>
    </row>
    <row r="192" spans="1:38" x14ac:dyDescent="0.25">
      <c r="A192" s="2" t="s">
        <v>189</v>
      </c>
      <c r="B192">
        <f>'Rådata-K'!M191</f>
        <v>10</v>
      </c>
      <c r="C192" s="7">
        <f>'Rådata-K'!L191</f>
        <v>238.03333333329999</v>
      </c>
      <c r="D192" s="34">
        <f>'Rådata-K'!N191</f>
        <v>2.2407995946755102</v>
      </c>
      <c r="E192" s="34">
        <f>'Rådata-K'!O191</f>
        <v>-2.3071007433991264E-3</v>
      </c>
      <c r="F192" s="34">
        <f>'Rådata-K'!P191</f>
        <v>0.10945529290853032</v>
      </c>
      <c r="G192" s="34">
        <f>'Rådata-K'!Q191</f>
        <v>0.16443987667009249</v>
      </c>
      <c r="H192" s="34">
        <f>'Rådata-K'!R191</f>
        <v>8.3870967741935587E-2</v>
      </c>
      <c r="I192" s="34">
        <f>'Rådata-K'!S191</f>
        <v>0.98014184397163118</v>
      </c>
      <c r="J192" s="22">
        <f>'Rådata-K'!K191</f>
        <v>385200</v>
      </c>
      <c r="K192" s="22">
        <f>Tabell2[[#This Row],[NIBR11]]</f>
        <v>10</v>
      </c>
      <c r="L192" s="32">
        <f>IF(Tabell2[[#This Row],[ReisetidOslo]]&lt;=C$434,C$434,IF(Tabell2[[#This Row],[ReisetidOslo]]&gt;=C$435,C$435,Tabell2[[#This Row],[ReisetidOslo]]))</f>
        <v>238.03333333329999</v>
      </c>
      <c r="M192" s="32">
        <f>IF(Tabell2[[#This Row],[Beftettotal]]&lt;=D$434,D$434,IF(Tabell2[[#This Row],[Beftettotal]]&gt;=D$435,D$435,Tabell2[[#This Row],[Beftettotal]]))</f>
        <v>2.2407995946755102</v>
      </c>
      <c r="N192" s="34">
        <f>IF(Tabell2[[#This Row],[Befvekst10]]&lt;=E$434,E$434,IF(Tabell2[[#This Row],[Befvekst10]]&gt;=E$435,E$435,Tabell2[[#This Row],[Befvekst10]]))</f>
        <v>-2.3071007433991264E-3</v>
      </c>
      <c r="O192" s="34">
        <f>IF(Tabell2[[#This Row],[Kvinneandel]]&lt;=F$434,F$434,IF(Tabell2[[#This Row],[Kvinneandel]]&gt;=F$435,F$435,Tabell2[[#This Row],[Kvinneandel]]))</f>
        <v>0.10945529290853032</v>
      </c>
      <c r="P192" s="34">
        <f>IF(Tabell2[[#This Row],[Eldreandel]]&lt;=G$434,G$434,IF(Tabell2[[#This Row],[Eldreandel]]&gt;=G$435,G$435,Tabell2[[#This Row],[Eldreandel]]))</f>
        <v>0.16443987667009249</v>
      </c>
      <c r="Q192" s="34">
        <f>IF(Tabell2[[#This Row],[Sysselsettingsvekst10]]&lt;=H$434,H$434,IF(Tabell2[[#This Row],[Sysselsettingsvekst10]]&gt;=H$435,H$435,Tabell2[[#This Row],[Sysselsettingsvekst10]]))</f>
        <v>8.3870967741935587E-2</v>
      </c>
      <c r="R192" s="34">
        <f>IF(Tabell2[[#This Row],[Yrkesaktivandel]]&lt;=I$434,I$434,IF(Tabell2[[#This Row],[Yrkesaktivandel]]&gt;=I$435,I$435,Tabell2[[#This Row],[Yrkesaktivandel]]))</f>
        <v>0.96203284815106216</v>
      </c>
      <c r="S192" s="22">
        <f>IF(Tabell2[[#This Row],[Inntekt]]&lt;=J$434,J$434,IF(Tabell2[[#This Row],[Inntekt]]&gt;=J$435,J$435,Tabell2[[#This Row],[Inntekt]]))</f>
        <v>385200</v>
      </c>
      <c r="T192" s="22">
        <f>IF(Tabell2[[#This Row],[NIBR11-T]]&lt;=K$437,100,IF(Tabell2[[#This Row],[NIBR11-T]]&gt;=K$436,0,100*(K$436-Tabell2[[#This Row],[NIBR11-T]])/K$439))</f>
        <v>10</v>
      </c>
      <c r="U192" s="7">
        <f>IF(Tabell2[[#This Row],[ReisetidOslo-T]]&lt;=L$437,100,IF(Tabell2[[#This Row],[ReisetidOslo-T]]&gt;=L$436,0,100*(L$436-Tabell2[[#This Row],[ReisetidOslo-T]])/L$439))</f>
        <v>18.61352833640322</v>
      </c>
      <c r="V192" s="7">
        <f>100-(M$436-Tabell2[[#This Row],[Beftettotal-T]])*100/M$439</f>
        <v>0.7047442307030849</v>
      </c>
      <c r="W192" s="7">
        <f>100-(N$436-Tabell2[[#This Row],[Befvekst10-T]])*100/N$439</f>
        <v>29.750434761393748</v>
      </c>
      <c r="X192" s="7">
        <f>100-(O$436-Tabell2[[#This Row],[Kvinneandel-T]])*100/O$439</f>
        <v>50.114914138295397</v>
      </c>
      <c r="Y192" s="7">
        <f>(P$436-Tabell2[[#This Row],[Eldreandel-T]])*100/P$439</f>
        <v>54.727386845902906</v>
      </c>
      <c r="Z192" s="7">
        <f>100-(Q$436-Tabell2[[#This Row],[Sysselsettingsvekst10-T]])*100/Q$439</f>
        <v>45.703606145830044</v>
      </c>
      <c r="AA192" s="7">
        <f>100-(R$436-Tabell2[[#This Row],[Yrkesaktivandel-T]])*100/R$439</f>
        <v>100</v>
      </c>
      <c r="AB192" s="7">
        <f>100-(S$436-Tabell2[[#This Row],[Inntekt-T]])*100/S$439</f>
        <v>62.17785001160901</v>
      </c>
      <c r="AC192" s="55">
        <f>Tabell2[[#This Row],[NIBR11-I]]*Vekter!$B$3</f>
        <v>2</v>
      </c>
      <c r="AD192" s="55">
        <f>Tabell2[[#This Row],[ReisetidOslo-I]]*Vekter!$C$3</f>
        <v>1.8613528336403222</v>
      </c>
      <c r="AE192" s="55">
        <f>Tabell2[[#This Row],[Beftettotal-I]]*Vekter!$D$3</f>
        <v>7.047442307030849E-2</v>
      </c>
      <c r="AF192" s="55">
        <f>Tabell2[[#This Row],[Befvekst10-I]]*Vekter!$E$3</f>
        <v>5.9500869522787498</v>
      </c>
      <c r="AG192" s="55">
        <f>Tabell2[[#This Row],[Kvinneandel-I]]*Vekter!$F$3</f>
        <v>2.5057457069147699</v>
      </c>
      <c r="AH192" s="55">
        <f>Tabell2[[#This Row],[Eldreandel-I]]*Vekter!$G$3</f>
        <v>2.7363693422951454</v>
      </c>
      <c r="AI192" s="55">
        <f>Tabell2[[#This Row],[Sysselsettingsvekst10-I]]*Vekter!$H$3</f>
        <v>4.5703606145830049</v>
      </c>
      <c r="AJ192" s="55">
        <f>Tabell2[[#This Row],[Yrkesaktivandel-I]]*Vekter!$J$3</f>
        <v>10</v>
      </c>
      <c r="AK192" s="55">
        <f>Tabell2[[#This Row],[Inntekt-I]]*Vekter!$L$3</f>
        <v>6.2177850011609017</v>
      </c>
      <c r="AL192" s="56">
        <f>SUM(Tabell2[[#This Row],[NIBR11-v]:[Inntekt-v]])</f>
        <v>35.912174873943201</v>
      </c>
    </row>
    <row r="193" spans="1:38" x14ac:dyDescent="0.25">
      <c r="A193" s="2" t="s">
        <v>190</v>
      </c>
      <c r="B193">
        <f>'Rådata-K'!M192</f>
        <v>9</v>
      </c>
      <c r="C193" s="7">
        <f>'Rådata-K'!L192</f>
        <v>250.08333333299998</v>
      </c>
      <c r="D193" s="34">
        <f>'Rådata-K'!N192</f>
        <v>8.705679925317126</v>
      </c>
      <c r="E193" s="34">
        <f>'Rådata-K'!O192</f>
        <v>-1.3073251711973488E-2</v>
      </c>
      <c r="F193" s="34">
        <f>'Rådata-K'!P192</f>
        <v>0.11396131202691337</v>
      </c>
      <c r="G193" s="34">
        <f>'Rådata-K'!Q192</f>
        <v>0.18208578637510514</v>
      </c>
      <c r="H193" s="34">
        <f>'Rådata-K'!R192</f>
        <v>1.5670910871694366E-2</v>
      </c>
      <c r="I193" s="34">
        <f>'Rådata-K'!S192</f>
        <v>0.89383177570093453</v>
      </c>
      <c r="J193" s="22">
        <f>'Rådata-K'!K192</f>
        <v>388200</v>
      </c>
      <c r="K193" s="22">
        <f>Tabell2[[#This Row],[NIBR11]]</f>
        <v>9</v>
      </c>
      <c r="L193" s="32">
        <f>IF(Tabell2[[#This Row],[ReisetidOslo]]&lt;=C$434,C$434,IF(Tabell2[[#This Row],[ReisetidOslo]]&gt;=C$435,C$435,Tabell2[[#This Row],[ReisetidOslo]]))</f>
        <v>250.08333333299998</v>
      </c>
      <c r="M193" s="32">
        <f>IF(Tabell2[[#This Row],[Beftettotal]]&lt;=D$434,D$434,IF(Tabell2[[#This Row],[Beftettotal]]&gt;=D$435,D$435,Tabell2[[#This Row],[Beftettotal]]))</f>
        <v>8.705679925317126</v>
      </c>
      <c r="N193" s="34">
        <f>IF(Tabell2[[#This Row],[Befvekst10]]&lt;=E$434,E$434,IF(Tabell2[[#This Row],[Befvekst10]]&gt;=E$435,E$435,Tabell2[[#This Row],[Befvekst10]]))</f>
        <v>-1.3073251711973488E-2</v>
      </c>
      <c r="O193" s="34">
        <f>IF(Tabell2[[#This Row],[Kvinneandel]]&lt;=F$434,F$434,IF(Tabell2[[#This Row],[Kvinneandel]]&gt;=F$435,F$435,Tabell2[[#This Row],[Kvinneandel]]))</f>
        <v>0.11396131202691337</v>
      </c>
      <c r="P193" s="34">
        <f>IF(Tabell2[[#This Row],[Eldreandel]]&lt;=G$434,G$434,IF(Tabell2[[#This Row],[Eldreandel]]&gt;=G$435,G$435,Tabell2[[#This Row],[Eldreandel]]))</f>
        <v>0.18208578637510514</v>
      </c>
      <c r="Q193" s="34">
        <f>IF(Tabell2[[#This Row],[Sysselsettingsvekst10]]&lt;=H$434,H$434,IF(Tabell2[[#This Row],[Sysselsettingsvekst10]]&gt;=H$435,H$435,Tabell2[[#This Row],[Sysselsettingsvekst10]]))</f>
        <v>1.5670910871694366E-2</v>
      </c>
      <c r="R193" s="34">
        <f>IF(Tabell2[[#This Row],[Yrkesaktivandel]]&lt;=I$434,I$434,IF(Tabell2[[#This Row],[Yrkesaktivandel]]&gt;=I$435,I$435,Tabell2[[#This Row],[Yrkesaktivandel]]))</f>
        <v>0.89383177570093453</v>
      </c>
      <c r="S193" s="22">
        <f>IF(Tabell2[[#This Row],[Inntekt]]&lt;=J$434,J$434,IF(Tabell2[[#This Row],[Inntekt]]&gt;=J$435,J$435,Tabell2[[#This Row],[Inntekt]]))</f>
        <v>388200</v>
      </c>
      <c r="T193" s="22">
        <f>IF(Tabell2[[#This Row],[NIBR11-T]]&lt;=K$437,100,IF(Tabell2[[#This Row],[NIBR11-T]]&gt;=K$436,0,100*(K$436-Tabell2[[#This Row],[NIBR11-T]])/K$439))</f>
        <v>20</v>
      </c>
      <c r="U193" s="7">
        <f>IF(Tabell2[[#This Row],[ReisetidOslo-T]]&lt;=L$437,100,IF(Tabell2[[#This Row],[ReisetidOslo-T]]&gt;=L$436,0,100*(L$436-Tabell2[[#This Row],[ReisetidOslo-T]])/L$439))</f>
        <v>13.326508226846178</v>
      </c>
      <c r="V193" s="7">
        <f>100-(M$436-Tabell2[[#This Row],[Beftettotal-T]])*100/M$439</f>
        <v>5.7057867484065952</v>
      </c>
      <c r="W193" s="7">
        <f>100-(N$436-Tabell2[[#This Row],[Befvekst10-T]])*100/N$439</f>
        <v>25.415588833299836</v>
      </c>
      <c r="X193" s="7">
        <f>100-(O$436-Tabell2[[#This Row],[Kvinneandel-T]])*100/O$439</f>
        <v>62.021986158956665</v>
      </c>
      <c r="Y193" s="7">
        <f>(P$436-Tabell2[[#This Row],[Eldreandel-T]])*100/P$439</f>
        <v>35.39184708222917</v>
      </c>
      <c r="Z193" s="7">
        <f>100-(Q$436-Tabell2[[#This Row],[Sysselsettingsvekst10-T]])*100/Q$439</f>
        <v>25.411299525869552</v>
      </c>
      <c r="AA193" s="7">
        <f>100-(R$436-Tabell2[[#This Row],[Yrkesaktivandel-T]])*100/R$439</f>
        <v>47.560758139151289</v>
      </c>
      <c r="AB193" s="7">
        <f>100-(S$436-Tabell2[[#This Row],[Inntekt-T]])*100/S$439</f>
        <v>65.660552588808912</v>
      </c>
      <c r="AC193" s="55">
        <f>Tabell2[[#This Row],[NIBR11-I]]*Vekter!$B$3</f>
        <v>4</v>
      </c>
      <c r="AD193" s="55">
        <f>Tabell2[[#This Row],[ReisetidOslo-I]]*Vekter!$C$3</f>
        <v>1.3326508226846179</v>
      </c>
      <c r="AE193" s="55">
        <f>Tabell2[[#This Row],[Beftettotal-I]]*Vekter!$D$3</f>
        <v>0.57057867484065949</v>
      </c>
      <c r="AF193" s="55">
        <f>Tabell2[[#This Row],[Befvekst10-I]]*Vekter!$E$3</f>
        <v>5.0831177666599672</v>
      </c>
      <c r="AG193" s="55">
        <f>Tabell2[[#This Row],[Kvinneandel-I]]*Vekter!$F$3</f>
        <v>3.1010993079478335</v>
      </c>
      <c r="AH193" s="55">
        <f>Tabell2[[#This Row],[Eldreandel-I]]*Vekter!$G$3</f>
        <v>1.7695923541114587</v>
      </c>
      <c r="AI193" s="55">
        <f>Tabell2[[#This Row],[Sysselsettingsvekst10-I]]*Vekter!$H$3</f>
        <v>2.5411299525869553</v>
      </c>
      <c r="AJ193" s="55">
        <f>Tabell2[[#This Row],[Yrkesaktivandel-I]]*Vekter!$J$3</f>
        <v>4.7560758139151291</v>
      </c>
      <c r="AK193" s="55">
        <f>Tabell2[[#This Row],[Inntekt-I]]*Vekter!$L$3</f>
        <v>6.5660552588808914</v>
      </c>
      <c r="AL193" s="56">
        <f>SUM(Tabell2[[#This Row],[NIBR11-v]:[Inntekt-v]])</f>
        <v>29.720299951627513</v>
      </c>
    </row>
    <row r="194" spans="1:38" x14ac:dyDescent="0.25">
      <c r="A194" s="2" t="s">
        <v>191</v>
      </c>
      <c r="B194">
        <f>'Rådata-K'!M193</f>
        <v>2</v>
      </c>
      <c r="C194" s="7">
        <f>'Rådata-K'!L193</f>
        <v>193.15</v>
      </c>
      <c r="D194" s="34">
        <f>'Rådata-K'!N193</f>
        <v>30.140791111962454</v>
      </c>
      <c r="E194" s="34">
        <f>'Rådata-K'!O193</f>
        <v>0.13528138528138522</v>
      </c>
      <c r="F194" s="34">
        <f>'Rådata-K'!P193</f>
        <v>0.12170320940578329</v>
      </c>
      <c r="G194" s="34">
        <f>'Rådata-K'!Q193</f>
        <v>0.14585319351763584</v>
      </c>
      <c r="H194" s="34">
        <f>'Rådata-K'!R193</f>
        <v>0.19869706840390888</v>
      </c>
      <c r="I194" s="34">
        <f>'Rådata-K'!S193</f>
        <v>1.0027886224205242</v>
      </c>
      <c r="J194" s="22">
        <f>'Rådata-K'!K193</f>
        <v>436000</v>
      </c>
      <c r="K194" s="22">
        <f>Tabell2[[#This Row],[NIBR11]]</f>
        <v>2</v>
      </c>
      <c r="L194" s="32">
        <f>IF(Tabell2[[#This Row],[ReisetidOslo]]&lt;=C$434,C$434,IF(Tabell2[[#This Row],[ReisetidOslo]]&gt;=C$435,C$435,Tabell2[[#This Row],[ReisetidOslo]]))</f>
        <v>193.15</v>
      </c>
      <c r="M194" s="32">
        <f>IF(Tabell2[[#This Row],[Beftettotal]]&lt;=D$434,D$434,IF(Tabell2[[#This Row],[Beftettotal]]&gt;=D$435,D$435,Tabell2[[#This Row],[Beftettotal]]))</f>
        <v>30.140791111962454</v>
      </c>
      <c r="N194" s="34">
        <f>IF(Tabell2[[#This Row],[Befvekst10]]&lt;=E$434,E$434,IF(Tabell2[[#This Row],[Befvekst10]]&gt;=E$435,E$435,Tabell2[[#This Row],[Befvekst10]]))</f>
        <v>0.13528138528138522</v>
      </c>
      <c r="O194" s="34">
        <f>IF(Tabell2[[#This Row],[Kvinneandel]]&lt;=F$434,F$434,IF(Tabell2[[#This Row],[Kvinneandel]]&gt;=F$435,F$435,Tabell2[[#This Row],[Kvinneandel]]))</f>
        <v>0.12170320940578329</v>
      </c>
      <c r="P194" s="34">
        <f>IF(Tabell2[[#This Row],[Eldreandel]]&lt;=G$434,G$434,IF(Tabell2[[#This Row],[Eldreandel]]&gt;=G$435,G$435,Tabell2[[#This Row],[Eldreandel]]))</f>
        <v>0.14585319351763584</v>
      </c>
      <c r="Q194" s="34">
        <f>IF(Tabell2[[#This Row],[Sysselsettingsvekst10]]&lt;=H$434,H$434,IF(Tabell2[[#This Row],[Sysselsettingsvekst10]]&gt;=H$435,H$435,Tabell2[[#This Row],[Sysselsettingsvekst10]]))</f>
        <v>0.19869706840390888</v>
      </c>
      <c r="R194" s="34">
        <f>IF(Tabell2[[#This Row],[Yrkesaktivandel]]&lt;=I$434,I$434,IF(Tabell2[[#This Row],[Yrkesaktivandel]]&gt;=I$435,I$435,Tabell2[[#This Row],[Yrkesaktivandel]]))</f>
        <v>0.96203284815106216</v>
      </c>
      <c r="S194" s="22">
        <f>IF(Tabell2[[#This Row],[Inntekt]]&lt;=J$434,J$434,IF(Tabell2[[#This Row],[Inntekt]]&gt;=J$435,J$435,Tabell2[[#This Row],[Inntekt]]))</f>
        <v>417780</v>
      </c>
      <c r="T194" s="22">
        <f>IF(Tabell2[[#This Row],[NIBR11-T]]&lt;=K$437,100,IF(Tabell2[[#This Row],[NIBR11-T]]&gt;=K$436,0,100*(K$436-Tabell2[[#This Row],[NIBR11-T]])/K$439))</f>
        <v>90</v>
      </c>
      <c r="U194" s="7">
        <f>IF(Tabell2[[#This Row],[ReisetidOslo-T]]&lt;=L$437,100,IF(Tabell2[[#This Row],[ReisetidOslo-T]]&gt;=L$436,0,100*(L$436-Tabell2[[#This Row],[ReisetidOslo-T]])/L$439))</f>
        <v>38.30639853748346</v>
      </c>
      <c r="V194" s="7">
        <f>100-(M$436-Tabell2[[#This Row],[Beftettotal-T]])*100/M$439</f>
        <v>22.287362420894937</v>
      </c>
      <c r="W194" s="7">
        <f>100-(N$436-Tabell2[[#This Row],[Befvekst10-T]])*100/N$439</f>
        <v>85.14858867341519</v>
      </c>
      <c r="X194" s="7">
        <f>100-(O$436-Tabell2[[#This Row],[Kvinneandel-T]])*100/O$439</f>
        <v>82.479806519881379</v>
      </c>
      <c r="Y194" s="7">
        <f>(P$436-Tabell2[[#This Row],[Eldreandel-T]])*100/P$439</f>
        <v>75.093780938186001</v>
      </c>
      <c r="Z194" s="7">
        <f>100-(Q$436-Tabell2[[#This Row],[Sysselsettingsvekst10-T]])*100/Q$439</f>
        <v>79.869068016931976</v>
      </c>
      <c r="AA194" s="7">
        <f>100-(R$436-Tabell2[[#This Row],[Yrkesaktivandel-T]])*100/R$439</f>
        <v>100</v>
      </c>
      <c r="AB194" s="7">
        <f>100-(S$436-Tabell2[[#This Row],[Inntekt-T]])*100/S$439</f>
        <v>100</v>
      </c>
      <c r="AC194" s="55">
        <f>Tabell2[[#This Row],[NIBR11-I]]*Vekter!$B$3</f>
        <v>18</v>
      </c>
      <c r="AD194" s="55">
        <f>Tabell2[[#This Row],[ReisetidOslo-I]]*Vekter!$C$3</f>
        <v>3.8306398537483464</v>
      </c>
      <c r="AE194" s="55">
        <f>Tabell2[[#This Row],[Beftettotal-I]]*Vekter!$D$3</f>
        <v>2.2287362420894938</v>
      </c>
      <c r="AF194" s="55">
        <f>Tabell2[[#This Row],[Befvekst10-I]]*Vekter!$E$3</f>
        <v>17.02971773468304</v>
      </c>
      <c r="AG194" s="55">
        <f>Tabell2[[#This Row],[Kvinneandel-I]]*Vekter!$F$3</f>
        <v>4.1239903259940691</v>
      </c>
      <c r="AH194" s="55">
        <f>Tabell2[[#This Row],[Eldreandel-I]]*Vekter!$G$3</f>
        <v>3.7546890469093004</v>
      </c>
      <c r="AI194" s="55">
        <f>Tabell2[[#This Row],[Sysselsettingsvekst10-I]]*Vekter!$H$3</f>
        <v>7.9869068016931983</v>
      </c>
      <c r="AJ194" s="55">
        <f>Tabell2[[#This Row],[Yrkesaktivandel-I]]*Vekter!$J$3</f>
        <v>10</v>
      </c>
      <c r="AK194" s="55">
        <f>Tabell2[[#This Row],[Inntekt-I]]*Vekter!$L$3</f>
        <v>10</v>
      </c>
      <c r="AL194" s="56">
        <f>SUM(Tabell2[[#This Row],[NIBR11-v]:[Inntekt-v]])</f>
        <v>76.954680005117453</v>
      </c>
    </row>
    <row r="195" spans="1:38" x14ac:dyDescent="0.25">
      <c r="A195" s="2" t="s">
        <v>192</v>
      </c>
      <c r="B195">
        <f>'Rådata-K'!M194</f>
        <v>2</v>
      </c>
      <c r="C195" s="7">
        <f>'Rådata-K'!L194</f>
        <v>180.8</v>
      </c>
      <c r="D195" s="34">
        <f>'Rådata-K'!N194</f>
        <v>73.179667226377646</v>
      </c>
      <c r="E195" s="34">
        <f>'Rådata-K'!O194</f>
        <v>0.43104477611940295</v>
      </c>
      <c r="F195" s="34">
        <f>'Rådata-K'!P194</f>
        <v>0.12974551522736755</v>
      </c>
      <c r="G195" s="34">
        <f>'Rådata-K'!Q194</f>
        <v>9.7204839382561539E-2</v>
      </c>
      <c r="H195" s="34">
        <f>'Rådata-K'!R194</f>
        <v>0.13907933398628791</v>
      </c>
      <c r="I195" s="34">
        <f>'Rådata-K'!S194</f>
        <v>0.93689839572192513</v>
      </c>
      <c r="J195" s="22">
        <f>'Rådata-K'!K194</f>
        <v>487800</v>
      </c>
      <c r="K195" s="22">
        <f>Tabell2[[#This Row],[NIBR11]]</f>
        <v>2</v>
      </c>
      <c r="L195" s="32">
        <f>IF(Tabell2[[#This Row],[ReisetidOslo]]&lt;=C$434,C$434,IF(Tabell2[[#This Row],[ReisetidOslo]]&gt;=C$435,C$435,Tabell2[[#This Row],[ReisetidOslo]]))</f>
        <v>180.8</v>
      </c>
      <c r="M195" s="32">
        <f>IF(Tabell2[[#This Row],[Beftettotal]]&lt;=D$434,D$434,IF(Tabell2[[#This Row],[Beftettotal]]&gt;=D$435,D$435,Tabell2[[#This Row],[Beftettotal]]))</f>
        <v>73.179667226377646</v>
      </c>
      <c r="N195" s="34">
        <f>IF(Tabell2[[#This Row],[Befvekst10]]&lt;=E$434,E$434,IF(Tabell2[[#This Row],[Befvekst10]]&gt;=E$435,E$435,Tabell2[[#This Row],[Befvekst10]]))</f>
        <v>0.17216678769030419</v>
      </c>
      <c r="O195" s="34">
        <f>IF(Tabell2[[#This Row],[Kvinneandel]]&lt;=F$434,F$434,IF(Tabell2[[#This Row],[Kvinneandel]]&gt;=F$435,F$435,Tabell2[[#This Row],[Kvinneandel]]))</f>
        <v>0.12833341426573511</v>
      </c>
      <c r="P195" s="34">
        <f>IF(Tabell2[[#This Row],[Eldreandel]]&lt;=G$434,G$434,IF(Tabell2[[#This Row],[Eldreandel]]&gt;=G$435,G$435,Tabell2[[#This Row],[Eldreandel]]))</f>
        <v>0.12312339657223466</v>
      </c>
      <c r="Q195" s="34">
        <f>IF(Tabell2[[#This Row],[Sysselsettingsvekst10]]&lt;=H$434,H$434,IF(Tabell2[[#This Row],[Sysselsettingsvekst10]]&gt;=H$435,H$435,Tabell2[[#This Row],[Sysselsettingsvekst10]]))</f>
        <v>0.13907933398628791</v>
      </c>
      <c r="R195" s="34">
        <f>IF(Tabell2[[#This Row],[Yrkesaktivandel]]&lt;=I$434,I$434,IF(Tabell2[[#This Row],[Yrkesaktivandel]]&gt;=I$435,I$435,Tabell2[[#This Row],[Yrkesaktivandel]]))</f>
        <v>0.93689839572192513</v>
      </c>
      <c r="S195" s="22">
        <f>IF(Tabell2[[#This Row],[Inntekt]]&lt;=J$434,J$434,IF(Tabell2[[#This Row],[Inntekt]]&gt;=J$435,J$435,Tabell2[[#This Row],[Inntekt]]))</f>
        <v>417780</v>
      </c>
      <c r="T195" s="22">
        <f>IF(Tabell2[[#This Row],[NIBR11-T]]&lt;=K$437,100,IF(Tabell2[[#This Row],[NIBR11-T]]&gt;=K$436,0,100*(K$436-Tabell2[[#This Row],[NIBR11-T]])/K$439))</f>
        <v>90</v>
      </c>
      <c r="U195" s="7">
        <f>IF(Tabell2[[#This Row],[ReisetidOslo-T]]&lt;=L$437,100,IF(Tabell2[[#This Row],[ReisetidOslo-T]]&gt;=L$436,0,100*(L$436-Tabell2[[#This Row],[ReisetidOslo-T]])/L$439))</f>
        <v>43.725045703844877</v>
      </c>
      <c r="V195" s="7">
        <f>100-(M$436-Tabell2[[#This Row],[Beftettotal-T]])*100/M$439</f>
        <v>55.580979371883835</v>
      </c>
      <c r="W195" s="7">
        <f>100-(N$436-Tabell2[[#This Row],[Befvekst10-T]])*100/N$439</f>
        <v>100</v>
      </c>
      <c r="X195" s="7">
        <f>100-(O$436-Tabell2[[#This Row],[Kvinneandel-T]])*100/O$439</f>
        <v>100</v>
      </c>
      <c r="Y195" s="7">
        <f>(P$436-Tabell2[[#This Row],[Eldreandel-T]])*100/P$439</f>
        <v>100</v>
      </c>
      <c r="Z195" s="7">
        <f>100-(Q$436-Tabell2[[#This Row],[Sysselsettingsvekst10-T]])*100/Q$439</f>
        <v>62.130353383724405</v>
      </c>
      <c r="AA195" s="7">
        <f>100-(R$436-Tabell2[[#This Row],[Yrkesaktivandel-T]])*100/R$439</f>
        <v>80.674326918607761</v>
      </c>
      <c r="AB195" s="7">
        <f>100-(S$436-Tabell2[[#This Row],[Inntekt-T]])*100/S$439</f>
        <v>100</v>
      </c>
      <c r="AC195" s="55">
        <f>Tabell2[[#This Row],[NIBR11-I]]*Vekter!$B$3</f>
        <v>18</v>
      </c>
      <c r="AD195" s="55">
        <f>Tabell2[[#This Row],[ReisetidOslo-I]]*Vekter!$C$3</f>
        <v>4.3725045703844883</v>
      </c>
      <c r="AE195" s="55">
        <f>Tabell2[[#This Row],[Beftettotal-I]]*Vekter!$D$3</f>
        <v>5.5580979371883839</v>
      </c>
      <c r="AF195" s="55">
        <f>Tabell2[[#This Row],[Befvekst10-I]]*Vekter!$E$3</f>
        <v>20</v>
      </c>
      <c r="AG195" s="55">
        <f>Tabell2[[#This Row],[Kvinneandel-I]]*Vekter!$F$3</f>
        <v>5</v>
      </c>
      <c r="AH195" s="55">
        <f>Tabell2[[#This Row],[Eldreandel-I]]*Vekter!$G$3</f>
        <v>5</v>
      </c>
      <c r="AI195" s="55">
        <f>Tabell2[[#This Row],[Sysselsettingsvekst10-I]]*Vekter!$H$3</f>
        <v>6.2130353383724408</v>
      </c>
      <c r="AJ195" s="55">
        <f>Tabell2[[#This Row],[Yrkesaktivandel-I]]*Vekter!$J$3</f>
        <v>8.0674326918607768</v>
      </c>
      <c r="AK195" s="55">
        <f>Tabell2[[#This Row],[Inntekt-I]]*Vekter!$L$3</f>
        <v>10</v>
      </c>
      <c r="AL195" s="56">
        <f>SUM(Tabell2[[#This Row],[NIBR11-v]:[Inntekt-v]])</f>
        <v>82.21107053780608</v>
      </c>
    </row>
    <row r="196" spans="1:38" x14ac:dyDescent="0.25">
      <c r="A196" s="2" t="s">
        <v>193</v>
      </c>
      <c r="B196">
        <f>'Rådata-K'!M195</f>
        <v>2</v>
      </c>
      <c r="C196" s="7">
        <f>'Rådata-K'!L195</f>
        <v>224.55</v>
      </c>
      <c r="D196" s="34">
        <f>'Rådata-K'!N195</f>
        <v>84.896661367249607</v>
      </c>
      <c r="E196" s="34">
        <f>'Rådata-K'!O195</f>
        <v>4.5009784735812186E-2</v>
      </c>
      <c r="F196" s="34">
        <f>'Rådata-K'!P195</f>
        <v>0.10674157303370786</v>
      </c>
      <c r="G196" s="34">
        <f>'Rådata-K'!Q195</f>
        <v>0.19475655430711611</v>
      </c>
      <c r="H196" s="34">
        <f>'Rådata-K'!R195</f>
        <v>0.11450381679389321</v>
      </c>
      <c r="I196" s="34">
        <f>'Rådata-K'!S195</f>
        <v>0.94035087719298249</v>
      </c>
      <c r="J196" s="22">
        <f>'Rådata-K'!K195</f>
        <v>395000</v>
      </c>
      <c r="K196" s="22">
        <f>Tabell2[[#This Row],[NIBR11]]</f>
        <v>2</v>
      </c>
      <c r="L196" s="32">
        <f>IF(Tabell2[[#This Row],[ReisetidOslo]]&lt;=C$434,C$434,IF(Tabell2[[#This Row],[ReisetidOslo]]&gt;=C$435,C$435,Tabell2[[#This Row],[ReisetidOslo]]))</f>
        <v>224.55</v>
      </c>
      <c r="M196" s="32">
        <f>IF(Tabell2[[#This Row],[Beftettotal]]&lt;=D$434,D$434,IF(Tabell2[[#This Row],[Beftettotal]]&gt;=D$435,D$435,Tabell2[[#This Row],[Beftettotal]]))</f>
        <v>84.896661367249607</v>
      </c>
      <c r="N196" s="34">
        <f>IF(Tabell2[[#This Row],[Befvekst10]]&lt;=E$434,E$434,IF(Tabell2[[#This Row],[Befvekst10]]&gt;=E$435,E$435,Tabell2[[#This Row],[Befvekst10]]))</f>
        <v>4.5009784735812186E-2</v>
      </c>
      <c r="O196" s="34">
        <f>IF(Tabell2[[#This Row],[Kvinneandel]]&lt;=F$434,F$434,IF(Tabell2[[#This Row],[Kvinneandel]]&gt;=F$435,F$435,Tabell2[[#This Row],[Kvinneandel]]))</f>
        <v>0.10674157303370786</v>
      </c>
      <c r="P196" s="34">
        <f>IF(Tabell2[[#This Row],[Eldreandel]]&lt;=G$434,G$434,IF(Tabell2[[#This Row],[Eldreandel]]&gt;=G$435,G$435,Tabell2[[#This Row],[Eldreandel]]))</f>
        <v>0.19475655430711611</v>
      </c>
      <c r="Q196" s="34">
        <f>IF(Tabell2[[#This Row],[Sysselsettingsvekst10]]&lt;=H$434,H$434,IF(Tabell2[[#This Row],[Sysselsettingsvekst10]]&gt;=H$435,H$435,Tabell2[[#This Row],[Sysselsettingsvekst10]]))</f>
        <v>0.11450381679389321</v>
      </c>
      <c r="R196" s="34">
        <f>IF(Tabell2[[#This Row],[Yrkesaktivandel]]&lt;=I$434,I$434,IF(Tabell2[[#This Row],[Yrkesaktivandel]]&gt;=I$435,I$435,Tabell2[[#This Row],[Yrkesaktivandel]]))</f>
        <v>0.94035087719298249</v>
      </c>
      <c r="S196" s="22">
        <f>IF(Tabell2[[#This Row],[Inntekt]]&lt;=J$434,J$434,IF(Tabell2[[#This Row],[Inntekt]]&gt;=J$435,J$435,Tabell2[[#This Row],[Inntekt]]))</f>
        <v>395000</v>
      </c>
      <c r="T196" s="22">
        <f>IF(Tabell2[[#This Row],[NIBR11-T]]&lt;=K$437,100,IF(Tabell2[[#This Row],[NIBR11-T]]&gt;=K$436,0,100*(K$436-Tabell2[[#This Row],[NIBR11-T]])/K$439))</f>
        <v>90</v>
      </c>
      <c r="U196" s="7">
        <f>IF(Tabell2[[#This Row],[ReisetidOslo-T]]&lt;=L$437,100,IF(Tabell2[[#This Row],[ReisetidOslo-T]]&gt;=L$436,0,100*(L$436-Tabell2[[#This Row],[ReisetidOslo-T]])/L$439))</f>
        <v>24.529433272402606</v>
      </c>
      <c r="V196" s="7">
        <f>100-(M$436-Tabell2[[#This Row],[Beftettotal-T]])*100/M$439</f>
        <v>64.644903664565675</v>
      </c>
      <c r="W196" s="7">
        <f>100-(N$436-Tabell2[[#This Row],[Befvekst10-T]])*100/N$439</f>
        <v>48.80194248670341</v>
      </c>
      <c r="X196" s="7">
        <f>100-(O$436-Tabell2[[#This Row],[Kvinneandel-T]])*100/O$439</f>
        <v>42.943959656192376</v>
      </c>
      <c r="Y196" s="7">
        <f>(P$436-Tabell2[[#This Row],[Eldreandel-T]])*100/P$439</f>
        <v>21.507828560016929</v>
      </c>
      <c r="Z196" s="7">
        <f>100-(Q$436-Tabell2[[#This Row],[Sysselsettingsvekst10-T]])*100/Q$439</f>
        <v>54.818131765478419</v>
      </c>
      <c r="AA196" s="7">
        <f>100-(R$436-Tabell2[[#This Row],[Yrkesaktivandel-T]])*100/R$439</f>
        <v>83.32891143431705</v>
      </c>
      <c r="AB196" s="7">
        <f>100-(S$436-Tabell2[[#This Row],[Inntekt-T]])*100/S$439</f>
        <v>73.554678430462047</v>
      </c>
      <c r="AC196" s="55">
        <f>Tabell2[[#This Row],[NIBR11-I]]*Vekter!$B$3</f>
        <v>18</v>
      </c>
      <c r="AD196" s="55">
        <f>Tabell2[[#This Row],[ReisetidOslo-I]]*Vekter!$C$3</f>
        <v>2.452943327240261</v>
      </c>
      <c r="AE196" s="55">
        <f>Tabell2[[#This Row],[Beftettotal-I]]*Vekter!$D$3</f>
        <v>6.4644903664565678</v>
      </c>
      <c r="AF196" s="55">
        <f>Tabell2[[#This Row],[Befvekst10-I]]*Vekter!$E$3</f>
        <v>9.7603884973406831</v>
      </c>
      <c r="AG196" s="55">
        <f>Tabell2[[#This Row],[Kvinneandel-I]]*Vekter!$F$3</f>
        <v>2.1471979828096188</v>
      </c>
      <c r="AH196" s="55">
        <f>Tabell2[[#This Row],[Eldreandel-I]]*Vekter!$G$3</f>
        <v>1.0753914280008465</v>
      </c>
      <c r="AI196" s="55">
        <f>Tabell2[[#This Row],[Sysselsettingsvekst10-I]]*Vekter!$H$3</f>
        <v>5.4818131765478419</v>
      </c>
      <c r="AJ196" s="55">
        <f>Tabell2[[#This Row],[Yrkesaktivandel-I]]*Vekter!$J$3</f>
        <v>8.3328911434317057</v>
      </c>
      <c r="AK196" s="55">
        <f>Tabell2[[#This Row],[Inntekt-I]]*Vekter!$L$3</f>
        <v>7.3554678430462053</v>
      </c>
      <c r="AL196" s="56">
        <f>SUM(Tabell2[[#This Row],[NIBR11-v]:[Inntekt-v]])</f>
        <v>61.070583764873739</v>
      </c>
    </row>
    <row r="197" spans="1:38" x14ac:dyDescent="0.25">
      <c r="A197" s="2" t="s">
        <v>194</v>
      </c>
      <c r="B197">
        <f>'Rådata-K'!M196</f>
        <v>4</v>
      </c>
      <c r="C197" s="7">
        <f>'Rådata-K'!L196</f>
        <v>177.36666666669998</v>
      </c>
      <c r="D197" s="34">
        <f>'Rådata-K'!N196</f>
        <v>18.341815097540287</v>
      </c>
      <c r="E197" s="34">
        <f>'Rådata-K'!O196</f>
        <v>0.12483745123537071</v>
      </c>
      <c r="F197" s="34">
        <f>'Rådata-K'!P196</f>
        <v>0.11213872832369942</v>
      </c>
      <c r="G197" s="34">
        <f>'Rådata-K'!Q196</f>
        <v>0.17341040462427745</v>
      </c>
      <c r="H197" s="34">
        <f>'Rådata-K'!R196</f>
        <v>0.15140845070422526</v>
      </c>
      <c r="I197" s="34">
        <f>'Rådata-K'!S196</f>
        <v>0.91966173361522197</v>
      </c>
      <c r="J197" s="22">
        <f>'Rådata-K'!K196</f>
        <v>394200</v>
      </c>
      <c r="K197" s="22">
        <f>Tabell2[[#This Row],[NIBR11]]</f>
        <v>4</v>
      </c>
      <c r="L197" s="32">
        <f>IF(Tabell2[[#This Row],[ReisetidOslo]]&lt;=C$434,C$434,IF(Tabell2[[#This Row],[ReisetidOslo]]&gt;=C$435,C$435,Tabell2[[#This Row],[ReisetidOslo]]))</f>
        <v>177.36666666669998</v>
      </c>
      <c r="M197" s="32">
        <f>IF(Tabell2[[#This Row],[Beftettotal]]&lt;=D$434,D$434,IF(Tabell2[[#This Row],[Beftettotal]]&gt;=D$435,D$435,Tabell2[[#This Row],[Beftettotal]]))</f>
        <v>18.341815097540287</v>
      </c>
      <c r="N197" s="34">
        <f>IF(Tabell2[[#This Row],[Befvekst10]]&lt;=E$434,E$434,IF(Tabell2[[#This Row],[Befvekst10]]&gt;=E$435,E$435,Tabell2[[#This Row],[Befvekst10]]))</f>
        <v>0.12483745123537071</v>
      </c>
      <c r="O197" s="34">
        <f>IF(Tabell2[[#This Row],[Kvinneandel]]&lt;=F$434,F$434,IF(Tabell2[[#This Row],[Kvinneandel]]&gt;=F$435,F$435,Tabell2[[#This Row],[Kvinneandel]]))</f>
        <v>0.11213872832369942</v>
      </c>
      <c r="P197" s="34">
        <f>IF(Tabell2[[#This Row],[Eldreandel]]&lt;=G$434,G$434,IF(Tabell2[[#This Row],[Eldreandel]]&gt;=G$435,G$435,Tabell2[[#This Row],[Eldreandel]]))</f>
        <v>0.17341040462427745</v>
      </c>
      <c r="Q197" s="34">
        <f>IF(Tabell2[[#This Row],[Sysselsettingsvekst10]]&lt;=H$434,H$434,IF(Tabell2[[#This Row],[Sysselsettingsvekst10]]&gt;=H$435,H$435,Tabell2[[#This Row],[Sysselsettingsvekst10]]))</f>
        <v>0.15140845070422526</v>
      </c>
      <c r="R197" s="34">
        <f>IF(Tabell2[[#This Row],[Yrkesaktivandel]]&lt;=I$434,I$434,IF(Tabell2[[#This Row],[Yrkesaktivandel]]&gt;=I$435,I$435,Tabell2[[#This Row],[Yrkesaktivandel]]))</f>
        <v>0.91966173361522197</v>
      </c>
      <c r="S197" s="22">
        <f>IF(Tabell2[[#This Row],[Inntekt]]&lt;=J$434,J$434,IF(Tabell2[[#This Row],[Inntekt]]&gt;=J$435,J$435,Tabell2[[#This Row],[Inntekt]]))</f>
        <v>394200</v>
      </c>
      <c r="T197" s="22">
        <f>IF(Tabell2[[#This Row],[NIBR11-T]]&lt;=K$437,100,IF(Tabell2[[#This Row],[NIBR11-T]]&gt;=K$436,0,100*(K$436-Tabell2[[#This Row],[NIBR11-T]])/K$439))</f>
        <v>70</v>
      </c>
      <c r="U197" s="7">
        <f>IF(Tabell2[[#This Row],[ReisetidOslo-T]]&lt;=L$437,100,IF(Tabell2[[#This Row],[ReisetidOslo-T]]&gt;=L$436,0,100*(L$436-Tabell2[[#This Row],[ReisetidOslo-T]])/L$439))</f>
        <v>45.231444241307265</v>
      </c>
      <c r="V197" s="7">
        <f>100-(M$436-Tabell2[[#This Row],[Beftettotal-T]])*100/M$439</f>
        <v>13.160019346373886</v>
      </c>
      <c r="W197" s="7">
        <f>100-(N$436-Tabell2[[#This Row],[Befvekst10-T]])*100/N$439</f>
        <v>80.943479056729004</v>
      </c>
      <c r="X197" s="7">
        <f>100-(O$436-Tabell2[[#This Row],[Kvinneandel-T]])*100/O$439</f>
        <v>57.205842496956528</v>
      </c>
      <c r="Y197" s="7">
        <f>(P$436-Tabell2[[#This Row],[Eldreandel-T]])*100/P$439</f>
        <v>44.897913451849526</v>
      </c>
      <c r="Z197" s="7">
        <f>100-(Q$436-Tabell2[[#This Row],[Sysselsettingsvekst10-T]])*100/Q$439</f>
        <v>65.798769925805516</v>
      </c>
      <c r="AA197" s="7">
        <f>100-(R$436-Tabell2[[#This Row],[Yrkesaktivandel-T]])*100/R$439</f>
        <v>67.4211996492661</v>
      </c>
      <c r="AB197" s="7">
        <f>100-(S$436-Tabell2[[#This Row],[Inntekt-T]])*100/S$439</f>
        <v>72.62595774320873</v>
      </c>
      <c r="AC197" s="55">
        <f>Tabell2[[#This Row],[NIBR11-I]]*Vekter!$B$3</f>
        <v>14</v>
      </c>
      <c r="AD197" s="55">
        <f>Tabell2[[#This Row],[ReisetidOslo-I]]*Vekter!$C$3</f>
        <v>4.5231444241307264</v>
      </c>
      <c r="AE197" s="55">
        <f>Tabell2[[#This Row],[Beftettotal-I]]*Vekter!$D$3</f>
        <v>1.3160019346373888</v>
      </c>
      <c r="AF197" s="55">
        <f>Tabell2[[#This Row],[Befvekst10-I]]*Vekter!$E$3</f>
        <v>16.188695811345802</v>
      </c>
      <c r="AG197" s="55">
        <f>Tabell2[[#This Row],[Kvinneandel-I]]*Vekter!$F$3</f>
        <v>2.8602921248478266</v>
      </c>
      <c r="AH197" s="55">
        <f>Tabell2[[#This Row],[Eldreandel-I]]*Vekter!$G$3</f>
        <v>2.2448956725924765</v>
      </c>
      <c r="AI197" s="55">
        <f>Tabell2[[#This Row],[Sysselsettingsvekst10-I]]*Vekter!$H$3</f>
        <v>6.5798769925805516</v>
      </c>
      <c r="AJ197" s="55">
        <f>Tabell2[[#This Row],[Yrkesaktivandel-I]]*Vekter!$J$3</f>
        <v>6.7421199649266104</v>
      </c>
      <c r="AK197" s="55">
        <f>Tabell2[[#This Row],[Inntekt-I]]*Vekter!$L$3</f>
        <v>7.2625957743208733</v>
      </c>
      <c r="AL197" s="56">
        <f>SUM(Tabell2[[#This Row],[NIBR11-v]:[Inntekt-v]])</f>
        <v>61.717622699382247</v>
      </c>
    </row>
    <row r="198" spans="1:38" x14ac:dyDescent="0.25">
      <c r="A198" s="2" t="s">
        <v>195</v>
      </c>
      <c r="B198">
        <f>'Rådata-K'!M197</f>
        <v>4</v>
      </c>
      <c r="C198" s="7">
        <f>'Rådata-K'!L197</f>
        <v>169.13333333330002</v>
      </c>
      <c r="D198" s="34">
        <f>'Rådata-K'!N197</f>
        <v>25.521261841517596</v>
      </c>
      <c r="E198" s="34">
        <f>'Rådata-K'!O197</f>
        <v>0.15869797225186777</v>
      </c>
      <c r="F198" s="34">
        <f>'Rådata-K'!P197</f>
        <v>0.12342267661416598</v>
      </c>
      <c r="G198" s="34">
        <f>'Rådata-K'!Q197</f>
        <v>0.12268582481348439</v>
      </c>
      <c r="H198" s="34">
        <f>'Rådata-K'!R197</f>
        <v>0.17099567099567103</v>
      </c>
      <c r="I198" s="34">
        <f>'Rådata-K'!S197</f>
        <v>0.93277731442869061</v>
      </c>
      <c r="J198" s="22">
        <f>'Rådata-K'!K197</f>
        <v>412400</v>
      </c>
      <c r="K198" s="22">
        <f>Tabell2[[#This Row],[NIBR11]]</f>
        <v>4</v>
      </c>
      <c r="L198" s="32">
        <f>IF(Tabell2[[#This Row],[ReisetidOslo]]&lt;=C$434,C$434,IF(Tabell2[[#This Row],[ReisetidOslo]]&gt;=C$435,C$435,Tabell2[[#This Row],[ReisetidOslo]]))</f>
        <v>169.13333333330002</v>
      </c>
      <c r="M198" s="32">
        <f>IF(Tabell2[[#This Row],[Beftettotal]]&lt;=D$434,D$434,IF(Tabell2[[#This Row],[Beftettotal]]&gt;=D$435,D$435,Tabell2[[#This Row],[Beftettotal]]))</f>
        <v>25.521261841517596</v>
      </c>
      <c r="N198" s="34">
        <f>IF(Tabell2[[#This Row],[Befvekst10]]&lt;=E$434,E$434,IF(Tabell2[[#This Row],[Befvekst10]]&gt;=E$435,E$435,Tabell2[[#This Row],[Befvekst10]]))</f>
        <v>0.15869797225186777</v>
      </c>
      <c r="O198" s="34">
        <f>IF(Tabell2[[#This Row],[Kvinneandel]]&lt;=F$434,F$434,IF(Tabell2[[#This Row],[Kvinneandel]]&gt;=F$435,F$435,Tabell2[[#This Row],[Kvinneandel]]))</f>
        <v>0.12342267661416598</v>
      </c>
      <c r="P198" s="34">
        <f>IF(Tabell2[[#This Row],[Eldreandel]]&lt;=G$434,G$434,IF(Tabell2[[#This Row],[Eldreandel]]&gt;=G$435,G$435,Tabell2[[#This Row],[Eldreandel]]))</f>
        <v>0.12312339657223466</v>
      </c>
      <c r="Q198" s="34">
        <f>IF(Tabell2[[#This Row],[Sysselsettingsvekst10]]&lt;=H$434,H$434,IF(Tabell2[[#This Row],[Sysselsettingsvekst10]]&gt;=H$435,H$435,Tabell2[[#This Row],[Sysselsettingsvekst10]]))</f>
        <v>0.17099567099567103</v>
      </c>
      <c r="R198" s="34">
        <f>IF(Tabell2[[#This Row],[Yrkesaktivandel]]&lt;=I$434,I$434,IF(Tabell2[[#This Row],[Yrkesaktivandel]]&gt;=I$435,I$435,Tabell2[[#This Row],[Yrkesaktivandel]]))</f>
        <v>0.93277731442869061</v>
      </c>
      <c r="S198" s="22">
        <f>IF(Tabell2[[#This Row],[Inntekt]]&lt;=J$434,J$434,IF(Tabell2[[#This Row],[Inntekt]]&gt;=J$435,J$435,Tabell2[[#This Row],[Inntekt]]))</f>
        <v>412400</v>
      </c>
      <c r="T198" s="22">
        <f>IF(Tabell2[[#This Row],[NIBR11-T]]&lt;=K$437,100,IF(Tabell2[[#This Row],[NIBR11-T]]&gt;=K$436,0,100*(K$436-Tabell2[[#This Row],[NIBR11-T]])/K$439))</f>
        <v>70</v>
      </c>
      <c r="U198" s="7">
        <f>IF(Tabell2[[#This Row],[ReisetidOslo-T]]&lt;=L$437,100,IF(Tabell2[[#This Row],[ReisetidOslo-T]]&gt;=L$436,0,100*(L$436-Tabell2[[#This Row],[ReisetidOslo-T]])/L$439))</f>
        <v>48.843875685577444</v>
      </c>
      <c r="V198" s="7">
        <f>100-(M$436-Tabell2[[#This Row],[Beftettotal-T]])*100/M$439</f>
        <v>18.713829561551549</v>
      </c>
      <c r="W198" s="7">
        <f>100-(N$436-Tabell2[[#This Row],[Befvekst10-T]])*100/N$439</f>
        <v>94.576962562574423</v>
      </c>
      <c r="X198" s="7">
        <f>100-(O$436-Tabell2[[#This Row],[Kvinneandel-T]])*100/O$439</f>
        <v>87.023466755110221</v>
      </c>
      <c r="Y198" s="7">
        <f>(P$436-Tabell2[[#This Row],[Eldreandel-T]])*100/P$439</f>
        <v>100</v>
      </c>
      <c r="Z198" s="7">
        <f>100-(Q$436-Tabell2[[#This Row],[Sysselsettingsvekst10-T]])*100/Q$439</f>
        <v>71.626769171362795</v>
      </c>
      <c r="AA198" s="7">
        <f>100-(R$436-Tabell2[[#This Row],[Yrkesaktivandel-T]])*100/R$439</f>
        <v>77.50566151642991</v>
      </c>
      <c r="AB198" s="7">
        <f>100-(S$436-Tabell2[[#This Row],[Inntekt-T]])*100/S$439</f>
        <v>93.754353378221495</v>
      </c>
      <c r="AC198" s="55">
        <f>Tabell2[[#This Row],[NIBR11-I]]*Vekter!$B$3</f>
        <v>14</v>
      </c>
      <c r="AD198" s="55">
        <f>Tabell2[[#This Row],[ReisetidOslo-I]]*Vekter!$C$3</f>
        <v>4.8843875685577451</v>
      </c>
      <c r="AE198" s="55">
        <f>Tabell2[[#This Row],[Beftettotal-I]]*Vekter!$D$3</f>
        <v>1.8713829561551549</v>
      </c>
      <c r="AF198" s="55">
        <f>Tabell2[[#This Row],[Befvekst10-I]]*Vekter!$E$3</f>
        <v>18.915392512514885</v>
      </c>
      <c r="AG198" s="55">
        <f>Tabell2[[#This Row],[Kvinneandel-I]]*Vekter!$F$3</f>
        <v>4.3511733377555109</v>
      </c>
      <c r="AH198" s="55">
        <f>Tabell2[[#This Row],[Eldreandel-I]]*Vekter!$G$3</f>
        <v>5</v>
      </c>
      <c r="AI198" s="55">
        <f>Tabell2[[#This Row],[Sysselsettingsvekst10-I]]*Vekter!$H$3</f>
        <v>7.1626769171362801</v>
      </c>
      <c r="AJ198" s="55">
        <f>Tabell2[[#This Row],[Yrkesaktivandel-I]]*Vekter!$J$3</f>
        <v>7.7505661516429916</v>
      </c>
      <c r="AK198" s="55">
        <f>Tabell2[[#This Row],[Inntekt-I]]*Vekter!$L$3</f>
        <v>9.3754353378221502</v>
      </c>
      <c r="AL198" s="56">
        <f>SUM(Tabell2[[#This Row],[NIBR11-v]:[Inntekt-v]])</f>
        <v>73.311014781584717</v>
      </c>
    </row>
    <row r="199" spans="1:38" x14ac:dyDescent="0.25">
      <c r="A199" s="2" t="s">
        <v>196</v>
      </c>
      <c r="B199">
        <f>'Rådata-K'!M198</f>
        <v>4</v>
      </c>
      <c r="C199" s="7">
        <f>'Rådata-K'!L198</f>
        <v>160.85</v>
      </c>
      <c r="D199" s="34">
        <f>'Rådata-K'!N198</f>
        <v>182.95780774249675</v>
      </c>
      <c r="E199" s="34">
        <f>'Rådata-K'!O198</f>
        <v>0.11965288684217534</v>
      </c>
      <c r="F199" s="34">
        <f>'Rådata-K'!P198</f>
        <v>0.12548143217155627</v>
      </c>
      <c r="G199" s="34">
        <f>'Rådata-K'!Q198</f>
        <v>0.13094955066330655</v>
      </c>
      <c r="H199" s="34">
        <f>'Rådata-K'!R198</f>
        <v>0.13536540580242384</v>
      </c>
      <c r="I199" s="34">
        <f>'Rådata-K'!S198</f>
        <v>0.85643994211287988</v>
      </c>
      <c r="J199" s="22">
        <f>'Rådata-K'!K198</f>
        <v>401000</v>
      </c>
      <c r="K199" s="22">
        <f>Tabell2[[#This Row],[NIBR11]]</f>
        <v>4</v>
      </c>
      <c r="L199" s="32">
        <f>IF(Tabell2[[#This Row],[ReisetidOslo]]&lt;=C$434,C$434,IF(Tabell2[[#This Row],[ReisetidOslo]]&gt;=C$435,C$435,Tabell2[[#This Row],[ReisetidOslo]]))</f>
        <v>160.85</v>
      </c>
      <c r="M199" s="32">
        <f>IF(Tabell2[[#This Row],[Beftettotal]]&lt;=D$434,D$434,IF(Tabell2[[#This Row],[Beftettotal]]&gt;=D$435,D$435,Tabell2[[#This Row],[Beftettotal]]))</f>
        <v>130.60042534801397</v>
      </c>
      <c r="N199" s="34">
        <f>IF(Tabell2[[#This Row],[Befvekst10]]&lt;=E$434,E$434,IF(Tabell2[[#This Row],[Befvekst10]]&gt;=E$435,E$435,Tabell2[[#This Row],[Befvekst10]]))</f>
        <v>0.11965288684217534</v>
      </c>
      <c r="O199" s="34">
        <f>IF(Tabell2[[#This Row],[Kvinneandel]]&lt;=F$434,F$434,IF(Tabell2[[#This Row],[Kvinneandel]]&gt;=F$435,F$435,Tabell2[[#This Row],[Kvinneandel]]))</f>
        <v>0.12548143217155627</v>
      </c>
      <c r="P199" s="34">
        <f>IF(Tabell2[[#This Row],[Eldreandel]]&lt;=G$434,G$434,IF(Tabell2[[#This Row],[Eldreandel]]&gt;=G$435,G$435,Tabell2[[#This Row],[Eldreandel]]))</f>
        <v>0.13094955066330655</v>
      </c>
      <c r="Q199" s="34">
        <f>IF(Tabell2[[#This Row],[Sysselsettingsvekst10]]&lt;=H$434,H$434,IF(Tabell2[[#This Row],[Sysselsettingsvekst10]]&gt;=H$435,H$435,Tabell2[[#This Row],[Sysselsettingsvekst10]]))</f>
        <v>0.13536540580242384</v>
      </c>
      <c r="R199" s="34">
        <f>IF(Tabell2[[#This Row],[Yrkesaktivandel]]&lt;=I$434,I$434,IF(Tabell2[[#This Row],[Yrkesaktivandel]]&gt;=I$435,I$435,Tabell2[[#This Row],[Yrkesaktivandel]]))</f>
        <v>0.85643994211287988</v>
      </c>
      <c r="S199" s="22">
        <f>IF(Tabell2[[#This Row],[Inntekt]]&lt;=J$434,J$434,IF(Tabell2[[#This Row],[Inntekt]]&gt;=J$435,J$435,Tabell2[[#This Row],[Inntekt]]))</f>
        <v>401000</v>
      </c>
      <c r="T199" s="22">
        <f>IF(Tabell2[[#This Row],[NIBR11-T]]&lt;=K$437,100,IF(Tabell2[[#This Row],[NIBR11-T]]&gt;=K$436,0,100*(K$436-Tabell2[[#This Row],[NIBR11-T]])/K$439))</f>
        <v>70</v>
      </c>
      <c r="U199" s="7">
        <f>IF(Tabell2[[#This Row],[ReisetidOslo-T]]&lt;=L$437,100,IF(Tabell2[[#This Row],[ReisetidOslo-T]]&gt;=L$436,0,100*(L$436-Tabell2[[#This Row],[ReisetidOslo-T]])/L$439))</f>
        <v>52.478244972582566</v>
      </c>
      <c r="V199" s="7">
        <f>100-(M$436-Tabell2[[#This Row],[Beftettotal-T]])*100/M$439</f>
        <v>100</v>
      </c>
      <c r="W199" s="7">
        <f>100-(N$436-Tabell2[[#This Row],[Befvekst10-T]])*100/N$439</f>
        <v>78.855983914371777</v>
      </c>
      <c r="X199" s="7">
        <f>100-(O$436-Tabell2[[#This Row],[Kvinneandel-T]])*100/O$439</f>
        <v>92.463690165342769</v>
      </c>
      <c r="Y199" s="7">
        <f>(P$436-Tabell2[[#This Row],[Eldreandel-T]])*100/P$439</f>
        <v>91.424476484679488</v>
      </c>
      <c r="Z199" s="7">
        <f>100-(Q$436-Tabell2[[#This Row],[Sysselsettingsvekst10-T]])*100/Q$439</f>
        <v>61.02530783200482</v>
      </c>
      <c r="AA199" s="7">
        <f>100-(R$436-Tabell2[[#This Row],[Yrkesaktivandel-T]])*100/R$439</f>
        <v>18.810485823735007</v>
      </c>
      <c r="AB199" s="7">
        <f>100-(S$436-Tabell2[[#This Row],[Inntekt-T]])*100/S$439</f>
        <v>80.520083584861851</v>
      </c>
      <c r="AC199" s="55">
        <f>Tabell2[[#This Row],[NIBR11-I]]*Vekter!$B$3</f>
        <v>14</v>
      </c>
      <c r="AD199" s="55">
        <f>Tabell2[[#This Row],[ReisetidOslo-I]]*Vekter!$C$3</f>
        <v>5.2478244972582573</v>
      </c>
      <c r="AE199" s="55">
        <f>Tabell2[[#This Row],[Beftettotal-I]]*Vekter!$D$3</f>
        <v>10</v>
      </c>
      <c r="AF199" s="55">
        <f>Tabell2[[#This Row],[Befvekst10-I]]*Vekter!$E$3</f>
        <v>15.771196782874355</v>
      </c>
      <c r="AG199" s="55">
        <f>Tabell2[[#This Row],[Kvinneandel-I]]*Vekter!$F$3</f>
        <v>4.6231845082671388</v>
      </c>
      <c r="AH199" s="55">
        <f>Tabell2[[#This Row],[Eldreandel-I]]*Vekter!$G$3</f>
        <v>4.5712238242339742</v>
      </c>
      <c r="AI199" s="55">
        <f>Tabell2[[#This Row],[Sysselsettingsvekst10-I]]*Vekter!$H$3</f>
        <v>6.102530783200482</v>
      </c>
      <c r="AJ199" s="55">
        <f>Tabell2[[#This Row],[Yrkesaktivandel-I]]*Vekter!$J$3</f>
        <v>1.8810485823735008</v>
      </c>
      <c r="AK199" s="55">
        <f>Tabell2[[#This Row],[Inntekt-I]]*Vekter!$L$3</f>
        <v>8.0520083584861855</v>
      </c>
      <c r="AL199" s="56">
        <f>SUM(Tabell2[[#This Row],[NIBR11-v]:[Inntekt-v]])</f>
        <v>70.249017336693896</v>
      </c>
    </row>
    <row r="200" spans="1:38" x14ac:dyDescent="0.25">
      <c r="A200" s="2" t="s">
        <v>197</v>
      </c>
      <c r="B200">
        <f>'Rådata-K'!M199</f>
        <v>11</v>
      </c>
      <c r="C200" s="7">
        <f>'Rådata-K'!L199</f>
        <v>233.8</v>
      </c>
      <c r="D200" s="34">
        <f>'Rådata-K'!N199</f>
        <v>32.543443917851498</v>
      </c>
      <c r="E200" s="34">
        <f>'Rådata-K'!O199</f>
        <v>-3.2863849765258246E-2</v>
      </c>
      <c r="F200" s="34">
        <f>'Rådata-K'!P199</f>
        <v>0.13106796116504854</v>
      </c>
      <c r="G200" s="34">
        <f>'Rådata-K'!Q199</f>
        <v>0.16019417475728157</v>
      </c>
      <c r="H200" s="34">
        <f>'Rådata-K'!R199</f>
        <v>0.11827956989247301</v>
      </c>
      <c r="I200" s="34">
        <f>'Rådata-K'!S199</f>
        <v>1.0086206896551724</v>
      </c>
      <c r="J200" s="22">
        <f>'Rådata-K'!K199</f>
        <v>435100</v>
      </c>
      <c r="K200" s="22">
        <f>Tabell2[[#This Row],[NIBR11]]</f>
        <v>11</v>
      </c>
      <c r="L200" s="32">
        <f>IF(Tabell2[[#This Row],[ReisetidOslo]]&lt;=C$434,C$434,IF(Tabell2[[#This Row],[ReisetidOslo]]&gt;=C$435,C$435,Tabell2[[#This Row],[ReisetidOslo]]))</f>
        <v>233.8</v>
      </c>
      <c r="M200" s="32">
        <f>IF(Tabell2[[#This Row],[Beftettotal]]&lt;=D$434,D$434,IF(Tabell2[[#This Row],[Beftettotal]]&gt;=D$435,D$435,Tabell2[[#This Row],[Beftettotal]]))</f>
        <v>32.543443917851498</v>
      </c>
      <c r="N200" s="34">
        <f>IF(Tabell2[[#This Row],[Befvekst10]]&lt;=E$434,E$434,IF(Tabell2[[#This Row],[Befvekst10]]&gt;=E$435,E$435,Tabell2[[#This Row],[Befvekst10]]))</f>
        <v>-3.2863849765258246E-2</v>
      </c>
      <c r="O200" s="34">
        <f>IF(Tabell2[[#This Row],[Kvinneandel]]&lt;=F$434,F$434,IF(Tabell2[[#This Row],[Kvinneandel]]&gt;=F$435,F$435,Tabell2[[#This Row],[Kvinneandel]]))</f>
        <v>0.12833341426573511</v>
      </c>
      <c r="P200" s="34">
        <f>IF(Tabell2[[#This Row],[Eldreandel]]&lt;=G$434,G$434,IF(Tabell2[[#This Row],[Eldreandel]]&gt;=G$435,G$435,Tabell2[[#This Row],[Eldreandel]]))</f>
        <v>0.16019417475728157</v>
      </c>
      <c r="Q200" s="34">
        <f>IF(Tabell2[[#This Row],[Sysselsettingsvekst10]]&lt;=H$434,H$434,IF(Tabell2[[#This Row],[Sysselsettingsvekst10]]&gt;=H$435,H$435,Tabell2[[#This Row],[Sysselsettingsvekst10]]))</f>
        <v>0.11827956989247301</v>
      </c>
      <c r="R200" s="34">
        <f>IF(Tabell2[[#This Row],[Yrkesaktivandel]]&lt;=I$434,I$434,IF(Tabell2[[#This Row],[Yrkesaktivandel]]&gt;=I$435,I$435,Tabell2[[#This Row],[Yrkesaktivandel]]))</f>
        <v>0.96203284815106216</v>
      </c>
      <c r="S200" s="22">
        <f>IF(Tabell2[[#This Row],[Inntekt]]&lt;=J$434,J$434,IF(Tabell2[[#This Row],[Inntekt]]&gt;=J$435,J$435,Tabell2[[#This Row],[Inntekt]]))</f>
        <v>417780</v>
      </c>
      <c r="T200" s="22">
        <f>IF(Tabell2[[#This Row],[NIBR11-T]]&lt;=K$437,100,IF(Tabell2[[#This Row],[NIBR11-T]]&gt;=K$436,0,100*(K$436-Tabell2[[#This Row],[NIBR11-T]])/K$439))</f>
        <v>0</v>
      </c>
      <c r="U200" s="7">
        <f>IF(Tabell2[[#This Row],[ReisetidOslo-T]]&lt;=L$437,100,IF(Tabell2[[#This Row],[ReisetidOslo-T]]&gt;=L$436,0,100*(L$436-Tabell2[[#This Row],[ReisetidOslo-T]])/L$439))</f>
        <v>20.470932358326237</v>
      </c>
      <c r="V200" s="7">
        <f>100-(M$436-Tabell2[[#This Row],[Beftettotal-T]])*100/M$439</f>
        <v>24.14598442516926</v>
      </c>
      <c r="W200" s="7">
        <f>100-(N$436-Tabell2[[#This Row],[Befvekst10-T]])*100/N$439</f>
        <v>17.447170627365594</v>
      </c>
      <c r="X200" s="7">
        <f>100-(O$436-Tabell2[[#This Row],[Kvinneandel-T]])*100/O$439</f>
        <v>100</v>
      </c>
      <c r="Y200" s="7">
        <f>(P$436-Tabell2[[#This Row],[Eldreandel-T]])*100/P$439</f>
        <v>59.379622946631763</v>
      </c>
      <c r="Z200" s="7">
        <f>100-(Q$436-Tabell2[[#This Row],[Sysselsettingsvekst10-T]])*100/Q$439</f>
        <v>55.941572758253884</v>
      </c>
      <c r="AA200" s="7">
        <f>100-(R$436-Tabell2[[#This Row],[Yrkesaktivandel-T]])*100/R$439</f>
        <v>100</v>
      </c>
      <c r="AB200" s="7">
        <f>100-(S$436-Tabell2[[#This Row],[Inntekt-T]])*100/S$439</f>
        <v>100</v>
      </c>
      <c r="AC200" s="55">
        <f>Tabell2[[#This Row],[NIBR11-I]]*Vekter!$B$3</f>
        <v>0</v>
      </c>
      <c r="AD200" s="55">
        <f>Tabell2[[#This Row],[ReisetidOslo-I]]*Vekter!$C$3</f>
        <v>2.0470932358326239</v>
      </c>
      <c r="AE200" s="55">
        <f>Tabell2[[#This Row],[Beftettotal-I]]*Vekter!$D$3</f>
        <v>2.414598442516926</v>
      </c>
      <c r="AF200" s="55">
        <f>Tabell2[[#This Row],[Befvekst10-I]]*Vekter!$E$3</f>
        <v>3.4894341254731192</v>
      </c>
      <c r="AG200" s="55">
        <f>Tabell2[[#This Row],[Kvinneandel-I]]*Vekter!$F$3</f>
        <v>5</v>
      </c>
      <c r="AH200" s="55">
        <f>Tabell2[[#This Row],[Eldreandel-I]]*Vekter!$G$3</f>
        <v>2.9689811473315881</v>
      </c>
      <c r="AI200" s="55">
        <f>Tabell2[[#This Row],[Sysselsettingsvekst10-I]]*Vekter!$H$3</f>
        <v>5.5941572758253884</v>
      </c>
      <c r="AJ200" s="55">
        <f>Tabell2[[#This Row],[Yrkesaktivandel-I]]*Vekter!$J$3</f>
        <v>10</v>
      </c>
      <c r="AK200" s="55">
        <f>Tabell2[[#This Row],[Inntekt-I]]*Vekter!$L$3</f>
        <v>10</v>
      </c>
      <c r="AL200" s="56">
        <f>SUM(Tabell2[[#This Row],[NIBR11-v]:[Inntekt-v]])</f>
        <v>41.514264226979648</v>
      </c>
    </row>
    <row r="201" spans="1:38" x14ac:dyDescent="0.25">
      <c r="A201" s="2" t="s">
        <v>198</v>
      </c>
      <c r="B201">
        <f>'Rådata-K'!M200</f>
        <v>4</v>
      </c>
      <c r="C201" s="7">
        <f>'Rådata-K'!L200</f>
        <v>199.4</v>
      </c>
      <c r="D201" s="34">
        <f>'Rådata-K'!N200</f>
        <v>14.123656520407998</v>
      </c>
      <c r="E201" s="34">
        <f>'Rådata-K'!O200</f>
        <v>7.943349753694573E-2</v>
      </c>
      <c r="F201" s="34">
        <f>'Rådata-K'!P200</f>
        <v>0.11568739304050199</v>
      </c>
      <c r="G201" s="34">
        <f>'Rådata-K'!Q200</f>
        <v>0.14523673702224757</v>
      </c>
      <c r="H201" s="34">
        <f>'Rådata-K'!R200</f>
        <v>0.24518042511122107</v>
      </c>
      <c r="I201" s="34">
        <f>'Rådata-K'!S200</f>
        <v>0.95412287793047701</v>
      </c>
      <c r="J201" s="22">
        <f>'Rådata-K'!K200</f>
        <v>402900</v>
      </c>
      <c r="K201" s="22">
        <f>Tabell2[[#This Row],[NIBR11]]</f>
        <v>4</v>
      </c>
      <c r="L201" s="32">
        <f>IF(Tabell2[[#This Row],[ReisetidOslo]]&lt;=C$434,C$434,IF(Tabell2[[#This Row],[ReisetidOslo]]&gt;=C$435,C$435,Tabell2[[#This Row],[ReisetidOslo]]))</f>
        <v>199.4</v>
      </c>
      <c r="M201" s="32">
        <f>IF(Tabell2[[#This Row],[Beftettotal]]&lt;=D$434,D$434,IF(Tabell2[[#This Row],[Beftettotal]]&gt;=D$435,D$435,Tabell2[[#This Row],[Beftettotal]]))</f>
        <v>14.123656520407998</v>
      </c>
      <c r="N201" s="34">
        <f>IF(Tabell2[[#This Row],[Befvekst10]]&lt;=E$434,E$434,IF(Tabell2[[#This Row],[Befvekst10]]&gt;=E$435,E$435,Tabell2[[#This Row],[Befvekst10]]))</f>
        <v>7.943349753694573E-2</v>
      </c>
      <c r="O201" s="34">
        <f>IF(Tabell2[[#This Row],[Kvinneandel]]&lt;=F$434,F$434,IF(Tabell2[[#This Row],[Kvinneandel]]&gt;=F$435,F$435,Tabell2[[#This Row],[Kvinneandel]]))</f>
        <v>0.11568739304050199</v>
      </c>
      <c r="P201" s="34">
        <f>IF(Tabell2[[#This Row],[Eldreandel]]&lt;=G$434,G$434,IF(Tabell2[[#This Row],[Eldreandel]]&gt;=G$435,G$435,Tabell2[[#This Row],[Eldreandel]]))</f>
        <v>0.14523673702224757</v>
      </c>
      <c r="Q201" s="34">
        <f>IF(Tabell2[[#This Row],[Sysselsettingsvekst10]]&lt;=H$434,H$434,IF(Tabell2[[#This Row],[Sysselsettingsvekst10]]&gt;=H$435,H$435,Tabell2[[#This Row],[Sysselsettingsvekst10]]))</f>
        <v>0.24518042511122107</v>
      </c>
      <c r="R201" s="34">
        <f>IF(Tabell2[[#This Row],[Yrkesaktivandel]]&lt;=I$434,I$434,IF(Tabell2[[#This Row],[Yrkesaktivandel]]&gt;=I$435,I$435,Tabell2[[#This Row],[Yrkesaktivandel]]))</f>
        <v>0.95412287793047701</v>
      </c>
      <c r="S201" s="22">
        <f>IF(Tabell2[[#This Row],[Inntekt]]&lt;=J$434,J$434,IF(Tabell2[[#This Row],[Inntekt]]&gt;=J$435,J$435,Tabell2[[#This Row],[Inntekt]]))</f>
        <v>402900</v>
      </c>
      <c r="T201" s="22">
        <f>IF(Tabell2[[#This Row],[NIBR11-T]]&lt;=K$437,100,IF(Tabell2[[#This Row],[NIBR11-T]]&gt;=K$436,0,100*(K$436-Tabell2[[#This Row],[NIBR11-T]])/K$439))</f>
        <v>70</v>
      </c>
      <c r="U201" s="7">
        <f>IF(Tabell2[[#This Row],[ReisetidOslo-T]]&lt;=L$437,100,IF(Tabell2[[#This Row],[ReisetidOslo-T]]&gt;=L$436,0,100*(L$436-Tabell2[[#This Row],[ReisetidOslo-T]])/L$439))</f>
        <v>35.564168190134566</v>
      </c>
      <c r="V201" s="7">
        <f>100-(M$436-Tabell2[[#This Row],[Beftettotal-T]])*100/M$439</f>
        <v>9.8969751271840209</v>
      </c>
      <c r="W201" s="7">
        <f>100-(N$436-Tabell2[[#This Row],[Befvekst10-T]])*100/N$439</f>
        <v>62.662187592074375</v>
      </c>
      <c r="X201" s="7">
        <f>100-(O$436-Tabell2[[#This Row],[Kvinneandel-T]])*100/O$439</f>
        <v>66.583123251883791</v>
      </c>
      <c r="Y201" s="7">
        <f>(P$436-Tabell2[[#This Row],[Eldreandel-T]])*100/P$439</f>
        <v>75.769264337932114</v>
      </c>
      <c r="Z201" s="7">
        <f>100-(Q$436-Tabell2[[#This Row],[Sysselsettingsvekst10-T]])*100/Q$439</f>
        <v>93.699768023889888</v>
      </c>
      <c r="AA201" s="7">
        <f>100-(R$436-Tabell2[[#This Row],[Yrkesaktivandel-T]])*100/R$439</f>
        <v>93.918089164760644</v>
      </c>
      <c r="AB201" s="7">
        <f>100-(S$436-Tabell2[[#This Row],[Inntekt-T]])*100/S$439</f>
        <v>82.725795217088461</v>
      </c>
      <c r="AC201" s="55">
        <f>Tabell2[[#This Row],[NIBR11-I]]*Vekter!$B$3</f>
        <v>14</v>
      </c>
      <c r="AD201" s="55">
        <f>Tabell2[[#This Row],[ReisetidOslo-I]]*Vekter!$C$3</f>
        <v>3.5564168190134566</v>
      </c>
      <c r="AE201" s="55">
        <f>Tabell2[[#This Row],[Beftettotal-I]]*Vekter!$D$3</f>
        <v>0.98969751271840212</v>
      </c>
      <c r="AF201" s="55">
        <f>Tabell2[[#This Row],[Befvekst10-I]]*Vekter!$E$3</f>
        <v>12.532437518414875</v>
      </c>
      <c r="AG201" s="55">
        <f>Tabell2[[#This Row],[Kvinneandel-I]]*Vekter!$F$3</f>
        <v>3.3291561625941899</v>
      </c>
      <c r="AH201" s="55">
        <f>Tabell2[[#This Row],[Eldreandel-I]]*Vekter!$G$3</f>
        <v>3.7884632168966057</v>
      </c>
      <c r="AI201" s="55">
        <f>Tabell2[[#This Row],[Sysselsettingsvekst10-I]]*Vekter!$H$3</f>
        <v>9.3699768023889884</v>
      </c>
      <c r="AJ201" s="55">
        <f>Tabell2[[#This Row],[Yrkesaktivandel-I]]*Vekter!$J$3</f>
        <v>9.3918089164760641</v>
      </c>
      <c r="AK201" s="55">
        <f>Tabell2[[#This Row],[Inntekt-I]]*Vekter!$L$3</f>
        <v>8.2725795217088471</v>
      </c>
      <c r="AL201" s="56">
        <f>SUM(Tabell2[[#This Row],[NIBR11-v]:[Inntekt-v]])</f>
        <v>65.230536470211433</v>
      </c>
    </row>
    <row r="202" spans="1:38" x14ac:dyDescent="0.25">
      <c r="A202" s="2" t="s">
        <v>199</v>
      </c>
      <c r="B202">
        <f>'Rådata-K'!M201</f>
        <v>1</v>
      </c>
      <c r="C202" s="7">
        <f>'Rådata-K'!L201</f>
        <v>165.35</v>
      </c>
      <c r="D202" s="34">
        <f>'Rådata-K'!N201</f>
        <v>592.02065848934785</v>
      </c>
      <c r="E202" s="34">
        <f>'Rådata-K'!O201</f>
        <v>0.15009050662809509</v>
      </c>
      <c r="F202" s="34">
        <f>'Rådata-K'!P201</f>
        <v>0.15090944778853704</v>
      </c>
      <c r="G202" s="34">
        <f>'Rådata-K'!Q201</f>
        <v>0.12832228328826079</v>
      </c>
      <c r="H202" s="34">
        <f>'Rådata-K'!R201</f>
        <v>0.22221569807553987</v>
      </c>
      <c r="I202" s="34">
        <f>'Rådata-K'!S201</f>
        <v>0.86034587591496925</v>
      </c>
      <c r="J202" s="22">
        <f>'Rådata-K'!K201</f>
        <v>427800</v>
      </c>
      <c r="K202" s="22">
        <f>Tabell2[[#This Row],[NIBR11]]</f>
        <v>1</v>
      </c>
      <c r="L202" s="32">
        <f>IF(Tabell2[[#This Row],[ReisetidOslo]]&lt;=C$434,C$434,IF(Tabell2[[#This Row],[ReisetidOslo]]&gt;=C$435,C$435,Tabell2[[#This Row],[ReisetidOslo]]))</f>
        <v>165.35</v>
      </c>
      <c r="M202" s="32">
        <f>IF(Tabell2[[#This Row],[Beftettotal]]&lt;=D$434,D$434,IF(Tabell2[[#This Row],[Beftettotal]]&gt;=D$435,D$435,Tabell2[[#This Row],[Beftettotal]]))</f>
        <v>130.60042534801397</v>
      </c>
      <c r="N202" s="34">
        <f>IF(Tabell2[[#This Row],[Befvekst10]]&lt;=E$434,E$434,IF(Tabell2[[#This Row],[Befvekst10]]&gt;=E$435,E$435,Tabell2[[#This Row],[Befvekst10]]))</f>
        <v>0.15009050662809509</v>
      </c>
      <c r="O202" s="34">
        <f>IF(Tabell2[[#This Row],[Kvinneandel]]&lt;=F$434,F$434,IF(Tabell2[[#This Row],[Kvinneandel]]&gt;=F$435,F$435,Tabell2[[#This Row],[Kvinneandel]]))</f>
        <v>0.12833341426573511</v>
      </c>
      <c r="P202" s="34">
        <f>IF(Tabell2[[#This Row],[Eldreandel]]&lt;=G$434,G$434,IF(Tabell2[[#This Row],[Eldreandel]]&gt;=G$435,G$435,Tabell2[[#This Row],[Eldreandel]]))</f>
        <v>0.12832228328826079</v>
      </c>
      <c r="Q202" s="34">
        <f>IF(Tabell2[[#This Row],[Sysselsettingsvekst10]]&lt;=H$434,H$434,IF(Tabell2[[#This Row],[Sysselsettingsvekst10]]&gt;=H$435,H$435,Tabell2[[#This Row],[Sysselsettingsvekst10]]))</f>
        <v>0.22221569807553987</v>
      </c>
      <c r="R202" s="34">
        <f>IF(Tabell2[[#This Row],[Yrkesaktivandel]]&lt;=I$434,I$434,IF(Tabell2[[#This Row],[Yrkesaktivandel]]&gt;=I$435,I$435,Tabell2[[#This Row],[Yrkesaktivandel]]))</f>
        <v>0.86034587591496925</v>
      </c>
      <c r="S202" s="22">
        <f>IF(Tabell2[[#This Row],[Inntekt]]&lt;=J$434,J$434,IF(Tabell2[[#This Row],[Inntekt]]&gt;=J$435,J$435,Tabell2[[#This Row],[Inntekt]]))</f>
        <v>417780</v>
      </c>
      <c r="T202" s="22">
        <f>IF(Tabell2[[#This Row],[NIBR11-T]]&lt;=K$437,100,IF(Tabell2[[#This Row],[NIBR11-T]]&gt;=K$436,0,100*(K$436-Tabell2[[#This Row],[NIBR11-T]])/K$439))</f>
        <v>100</v>
      </c>
      <c r="U202" s="7">
        <f>IF(Tabell2[[#This Row],[ReisetidOslo-T]]&lt;=L$437,100,IF(Tabell2[[#This Row],[ReisetidOslo-T]]&gt;=L$436,0,100*(L$436-Tabell2[[#This Row],[ReisetidOslo-T]])/L$439))</f>
        <v>50.503839122491357</v>
      </c>
      <c r="V202" s="7">
        <f>100-(M$436-Tabell2[[#This Row],[Beftettotal-T]])*100/M$439</f>
        <v>100</v>
      </c>
      <c r="W202" s="7">
        <f>100-(N$436-Tabell2[[#This Row],[Befvekst10-T]])*100/N$439</f>
        <v>91.111282263335596</v>
      </c>
      <c r="X202" s="7">
        <f>100-(O$436-Tabell2[[#This Row],[Kvinneandel-T]])*100/O$439</f>
        <v>100</v>
      </c>
      <c r="Y202" s="7">
        <f>(P$436-Tabell2[[#This Row],[Eldreandel-T]])*100/P$439</f>
        <v>94.303309803517635</v>
      </c>
      <c r="Z202" s="7">
        <f>100-(Q$436-Tabell2[[#This Row],[Sysselsettingsvekst10-T]])*100/Q$439</f>
        <v>86.86682236611172</v>
      </c>
      <c r="AA202" s="7">
        <f>100-(R$436-Tabell2[[#This Row],[Yrkesaktivandel-T]])*100/R$439</f>
        <v>21.813726095213255</v>
      </c>
      <c r="AB202" s="7">
        <f>100-(S$436-Tabell2[[#This Row],[Inntekt-T]])*100/S$439</f>
        <v>100</v>
      </c>
      <c r="AC202" s="55">
        <f>Tabell2[[#This Row],[NIBR11-I]]*Vekter!$B$3</f>
        <v>20</v>
      </c>
      <c r="AD202" s="55">
        <f>Tabell2[[#This Row],[ReisetidOslo-I]]*Vekter!$C$3</f>
        <v>5.0503839122491359</v>
      </c>
      <c r="AE202" s="55">
        <f>Tabell2[[#This Row],[Beftettotal-I]]*Vekter!$D$3</f>
        <v>10</v>
      </c>
      <c r="AF202" s="55">
        <f>Tabell2[[#This Row],[Befvekst10-I]]*Vekter!$E$3</f>
        <v>18.222256452667121</v>
      </c>
      <c r="AG202" s="55">
        <f>Tabell2[[#This Row],[Kvinneandel-I]]*Vekter!$F$3</f>
        <v>5</v>
      </c>
      <c r="AH202" s="55">
        <f>Tabell2[[#This Row],[Eldreandel-I]]*Vekter!$G$3</f>
        <v>4.7151654901758819</v>
      </c>
      <c r="AI202" s="55">
        <f>Tabell2[[#This Row],[Sysselsettingsvekst10-I]]*Vekter!$H$3</f>
        <v>8.6866822366111727</v>
      </c>
      <c r="AJ202" s="55">
        <f>Tabell2[[#This Row],[Yrkesaktivandel-I]]*Vekter!$J$3</f>
        <v>2.1813726095213255</v>
      </c>
      <c r="AK202" s="55">
        <f>Tabell2[[#This Row],[Inntekt-I]]*Vekter!$L$3</f>
        <v>10</v>
      </c>
      <c r="AL202" s="56">
        <f>SUM(Tabell2[[#This Row],[NIBR11-v]:[Inntekt-v]])</f>
        <v>83.855860701224628</v>
      </c>
    </row>
    <row r="203" spans="1:38" x14ac:dyDescent="0.25">
      <c r="A203" s="2" t="s">
        <v>200</v>
      </c>
      <c r="B203">
        <f>'Rådata-K'!M202</f>
        <v>8</v>
      </c>
      <c r="C203" s="7">
        <f>'Rådata-K'!L202</f>
        <v>209.65</v>
      </c>
      <c r="D203" s="34">
        <f>'Rådata-K'!N202</f>
        <v>5.58026303262747</v>
      </c>
      <c r="E203" s="34">
        <f>'Rådata-K'!O202</f>
        <v>5.0973360655737654E-2</v>
      </c>
      <c r="F203" s="34">
        <f>'Rådata-K'!P202</f>
        <v>0.11162563977577382</v>
      </c>
      <c r="G203" s="34">
        <f>'Rådata-K'!Q202</f>
        <v>0.16402632220326591</v>
      </c>
      <c r="H203" s="34">
        <f>'Rådata-K'!R202</f>
        <v>0.11234487263226645</v>
      </c>
      <c r="I203" s="34">
        <f>'Rådata-K'!S202</f>
        <v>0.95604873803307222</v>
      </c>
      <c r="J203" s="22">
        <f>'Rådata-K'!K202</f>
        <v>385500</v>
      </c>
      <c r="K203" s="22">
        <f>Tabell2[[#This Row],[NIBR11]]</f>
        <v>8</v>
      </c>
      <c r="L203" s="32">
        <f>IF(Tabell2[[#This Row],[ReisetidOslo]]&lt;=C$434,C$434,IF(Tabell2[[#This Row],[ReisetidOslo]]&gt;=C$435,C$435,Tabell2[[#This Row],[ReisetidOslo]]))</f>
        <v>209.65</v>
      </c>
      <c r="M203" s="32">
        <f>IF(Tabell2[[#This Row],[Beftettotal]]&lt;=D$434,D$434,IF(Tabell2[[#This Row],[Beftettotal]]&gt;=D$435,D$435,Tabell2[[#This Row],[Beftettotal]]))</f>
        <v>5.58026303262747</v>
      </c>
      <c r="N203" s="34">
        <f>IF(Tabell2[[#This Row],[Befvekst10]]&lt;=E$434,E$434,IF(Tabell2[[#This Row],[Befvekst10]]&gt;=E$435,E$435,Tabell2[[#This Row],[Befvekst10]]))</f>
        <v>5.0973360655737654E-2</v>
      </c>
      <c r="O203" s="34">
        <f>IF(Tabell2[[#This Row],[Kvinneandel]]&lt;=F$434,F$434,IF(Tabell2[[#This Row],[Kvinneandel]]&gt;=F$435,F$435,Tabell2[[#This Row],[Kvinneandel]]))</f>
        <v>0.11162563977577382</v>
      </c>
      <c r="P203" s="34">
        <f>IF(Tabell2[[#This Row],[Eldreandel]]&lt;=G$434,G$434,IF(Tabell2[[#This Row],[Eldreandel]]&gt;=G$435,G$435,Tabell2[[#This Row],[Eldreandel]]))</f>
        <v>0.16402632220326591</v>
      </c>
      <c r="Q203" s="34">
        <f>IF(Tabell2[[#This Row],[Sysselsettingsvekst10]]&lt;=H$434,H$434,IF(Tabell2[[#This Row],[Sysselsettingsvekst10]]&gt;=H$435,H$435,Tabell2[[#This Row],[Sysselsettingsvekst10]]))</f>
        <v>0.11234487263226645</v>
      </c>
      <c r="R203" s="34">
        <f>IF(Tabell2[[#This Row],[Yrkesaktivandel]]&lt;=I$434,I$434,IF(Tabell2[[#This Row],[Yrkesaktivandel]]&gt;=I$435,I$435,Tabell2[[#This Row],[Yrkesaktivandel]]))</f>
        <v>0.95604873803307222</v>
      </c>
      <c r="S203" s="22">
        <f>IF(Tabell2[[#This Row],[Inntekt]]&lt;=J$434,J$434,IF(Tabell2[[#This Row],[Inntekt]]&gt;=J$435,J$435,Tabell2[[#This Row],[Inntekt]]))</f>
        <v>385500</v>
      </c>
      <c r="T203" s="22">
        <f>IF(Tabell2[[#This Row],[NIBR11-T]]&lt;=K$437,100,IF(Tabell2[[#This Row],[NIBR11-T]]&gt;=K$436,0,100*(K$436-Tabell2[[#This Row],[NIBR11-T]])/K$439))</f>
        <v>30</v>
      </c>
      <c r="U203" s="7">
        <f>IF(Tabell2[[#This Row],[ReisetidOslo-T]]&lt;=L$437,100,IF(Tabell2[[#This Row],[ReisetidOslo-T]]&gt;=L$436,0,100*(L$436-Tabell2[[#This Row],[ReisetidOslo-T]])/L$439))</f>
        <v>31.066910420482376</v>
      </c>
      <c r="V203" s="7">
        <f>100-(M$436-Tabell2[[#This Row],[Beftettotal-T]])*100/M$439</f>
        <v>3.2880555660045729</v>
      </c>
      <c r="W203" s="7">
        <f>100-(N$436-Tabell2[[#This Row],[Befvekst10-T]])*100/N$439</f>
        <v>51.203096145873296</v>
      </c>
      <c r="X203" s="7">
        <f>100-(O$436-Tabell2[[#This Row],[Kvinneandel-T]])*100/O$439</f>
        <v>55.850015516950513</v>
      </c>
      <c r="Y203" s="7">
        <f>(P$436-Tabell2[[#This Row],[Eldreandel-T]])*100/P$439</f>
        <v>55.18053995455216</v>
      </c>
      <c r="Z203" s="7">
        <f>100-(Q$436-Tabell2[[#This Row],[Sysselsettingsvekst10-T]])*100/Q$439</f>
        <v>54.175757566488272</v>
      </c>
      <c r="AA203" s="7">
        <f>100-(R$436-Tabell2[[#This Row],[Yrkesaktivandel-T]])*100/R$439</f>
        <v>95.398867106837713</v>
      </c>
      <c r="AB203" s="7">
        <f>100-(S$436-Tabell2[[#This Row],[Inntekt-T]])*100/S$439</f>
        <v>62.526120269328999</v>
      </c>
      <c r="AC203" s="55">
        <f>Tabell2[[#This Row],[NIBR11-I]]*Vekter!$B$3</f>
        <v>6</v>
      </c>
      <c r="AD203" s="55">
        <f>Tabell2[[#This Row],[ReisetidOslo-I]]*Vekter!$C$3</f>
        <v>3.1066910420482379</v>
      </c>
      <c r="AE203" s="55">
        <f>Tabell2[[#This Row],[Beftettotal-I]]*Vekter!$D$3</f>
        <v>0.32880555660045729</v>
      </c>
      <c r="AF203" s="55">
        <f>Tabell2[[#This Row],[Befvekst10-I]]*Vekter!$E$3</f>
        <v>10.24061922917466</v>
      </c>
      <c r="AG203" s="55">
        <f>Tabell2[[#This Row],[Kvinneandel-I]]*Vekter!$F$3</f>
        <v>2.7925007758475258</v>
      </c>
      <c r="AH203" s="55">
        <f>Tabell2[[#This Row],[Eldreandel-I]]*Vekter!$G$3</f>
        <v>2.7590269977276081</v>
      </c>
      <c r="AI203" s="55">
        <f>Tabell2[[#This Row],[Sysselsettingsvekst10-I]]*Vekter!$H$3</f>
        <v>5.4175757566488274</v>
      </c>
      <c r="AJ203" s="55">
        <f>Tabell2[[#This Row],[Yrkesaktivandel-I]]*Vekter!$J$3</f>
        <v>9.5398867106837724</v>
      </c>
      <c r="AK203" s="55">
        <f>Tabell2[[#This Row],[Inntekt-I]]*Vekter!$L$3</f>
        <v>6.2526120269329004</v>
      </c>
      <c r="AL203" s="56">
        <f>SUM(Tabell2[[#This Row],[NIBR11-v]:[Inntekt-v]])</f>
        <v>46.437718095663989</v>
      </c>
    </row>
    <row r="204" spans="1:38" x14ac:dyDescent="0.25">
      <c r="A204" s="2" t="s">
        <v>201</v>
      </c>
      <c r="B204">
        <f>'Rådata-K'!M203</f>
        <v>4</v>
      </c>
      <c r="C204" s="7">
        <f>'Rådata-K'!L203</f>
        <v>179.46666666670001</v>
      </c>
      <c r="D204" s="34">
        <f>'Rådata-K'!N203</f>
        <v>22.381571463394817</v>
      </c>
      <c r="E204" s="34">
        <f>'Rådata-K'!O203</f>
        <v>0.17915239726027399</v>
      </c>
      <c r="F204" s="34">
        <f>'Rådata-K'!P203</f>
        <v>0.12234525322200036</v>
      </c>
      <c r="G204" s="34">
        <f>'Rådata-K'!Q203</f>
        <v>0.12161916863314576</v>
      </c>
      <c r="H204" s="34">
        <f>'Rådata-K'!R203</f>
        <v>0.31564501372369635</v>
      </c>
      <c r="I204" s="34">
        <f>'Rådata-K'!S203</f>
        <v>0.88579654510556627</v>
      </c>
      <c r="J204" s="22">
        <f>'Rådata-K'!K203</f>
        <v>398200</v>
      </c>
      <c r="K204" s="22">
        <f>Tabell2[[#This Row],[NIBR11]]</f>
        <v>4</v>
      </c>
      <c r="L204" s="32">
        <f>IF(Tabell2[[#This Row],[ReisetidOslo]]&lt;=C$434,C$434,IF(Tabell2[[#This Row],[ReisetidOslo]]&gt;=C$435,C$435,Tabell2[[#This Row],[ReisetidOslo]]))</f>
        <v>179.46666666670001</v>
      </c>
      <c r="M204" s="32">
        <f>IF(Tabell2[[#This Row],[Beftettotal]]&lt;=D$434,D$434,IF(Tabell2[[#This Row],[Beftettotal]]&gt;=D$435,D$435,Tabell2[[#This Row],[Beftettotal]]))</f>
        <v>22.381571463394817</v>
      </c>
      <c r="N204" s="34">
        <f>IF(Tabell2[[#This Row],[Befvekst10]]&lt;=E$434,E$434,IF(Tabell2[[#This Row],[Befvekst10]]&gt;=E$435,E$435,Tabell2[[#This Row],[Befvekst10]]))</f>
        <v>0.17216678769030419</v>
      </c>
      <c r="O204" s="34">
        <f>IF(Tabell2[[#This Row],[Kvinneandel]]&lt;=F$434,F$434,IF(Tabell2[[#This Row],[Kvinneandel]]&gt;=F$435,F$435,Tabell2[[#This Row],[Kvinneandel]]))</f>
        <v>0.12234525322200036</v>
      </c>
      <c r="P204" s="34">
        <f>IF(Tabell2[[#This Row],[Eldreandel]]&lt;=G$434,G$434,IF(Tabell2[[#This Row],[Eldreandel]]&gt;=G$435,G$435,Tabell2[[#This Row],[Eldreandel]]))</f>
        <v>0.12312339657223466</v>
      </c>
      <c r="Q204" s="34">
        <f>IF(Tabell2[[#This Row],[Sysselsettingsvekst10]]&lt;=H$434,H$434,IF(Tabell2[[#This Row],[Sysselsettingsvekst10]]&gt;=H$435,H$435,Tabell2[[#This Row],[Sysselsettingsvekst10]]))</f>
        <v>0.26635476409167841</v>
      </c>
      <c r="R204" s="34">
        <f>IF(Tabell2[[#This Row],[Yrkesaktivandel]]&lt;=I$434,I$434,IF(Tabell2[[#This Row],[Yrkesaktivandel]]&gt;=I$435,I$435,Tabell2[[#This Row],[Yrkesaktivandel]]))</f>
        <v>0.88579654510556627</v>
      </c>
      <c r="S204" s="22">
        <f>IF(Tabell2[[#This Row],[Inntekt]]&lt;=J$434,J$434,IF(Tabell2[[#This Row],[Inntekt]]&gt;=J$435,J$435,Tabell2[[#This Row],[Inntekt]]))</f>
        <v>398200</v>
      </c>
      <c r="T204" s="22">
        <f>IF(Tabell2[[#This Row],[NIBR11-T]]&lt;=K$437,100,IF(Tabell2[[#This Row],[NIBR11-T]]&gt;=K$436,0,100*(K$436-Tabell2[[#This Row],[NIBR11-T]])/K$439))</f>
        <v>70</v>
      </c>
      <c r="U204" s="7">
        <f>IF(Tabell2[[#This Row],[ReisetidOslo-T]]&lt;=L$437,100,IF(Tabell2[[#This Row],[ReisetidOslo-T]]&gt;=L$436,0,100*(L$436-Tabell2[[#This Row],[ReisetidOslo-T]])/L$439))</f>
        <v>44.310054844598014</v>
      </c>
      <c r="V204" s="7">
        <f>100-(M$436-Tabell2[[#This Row],[Beftettotal-T]])*100/M$439</f>
        <v>16.285056827894735</v>
      </c>
      <c r="W204" s="7">
        <f>100-(N$436-Tabell2[[#This Row],[Befvekst10-T]])*100/N$439</f>
        <v>100</v>
      </c>
      <c r="X204" s="7">
        <f>100-(O$436-Tabell2[[#This Row],[Kvinneandel-T]])*100/O$439</f>
        <v>84.176395406716864</v>
      </c>
      <c r="Y204" s="7">
        <f>(P$436-Tabell2[[#This Row],[Eldreandel-T]])*100/P$439</f>
        <v>100</v>
      </c>
      <c r="Z204" s="7">
        <f>100-(Q$436-Tabell2[[#This Row],[Sysselsettingsvekst10-T]])*100/Q$439</f>
        <v>100</v>
      </c>
      <c r="AA204" s="7">
        <f>100-(R$436-Tabell2[[#This Row],[Yrkesaktivandel-T]])*100/R$439</f>
        <v>41.382535635299455</v>
      </c>
      <c r="AB204" s="7">
        <f>100-(S$436-Tabell2[[#This Row],[Inntekt-T]])*100/S$439</f>
        <v>77.269561179475275</v>
      </c>
      <c r="AC204" s="55">
        <f>Tabell2[[#This Row],[NIBR11-I]]*Vekter!$B$3</f>
        <v>14</v>
      </c>
      <c r="AD204" s="55">
        <f>Tabell2[[#This Row],[ReisetidOslo-I]]*Vekter!$C$3</f>
        <v>4.4310054844598019</v>
      </c>
      <c r="AE204" s="55">
        <f>Tabell2[[#This Row],[Beftettotal-I]]*Vekter!$D$3</f>
        <v>1.6285056827894735</v>
      </c>
      <c r="AF204" s="55">
        <f>Tabell2[[#This Row],[Befvekst10-I]]*Vekter!$E$3</f>
        <v>20</v>
      </c>
      <c r="AG204" s="55">
        <f>Tabell2[[#This Row],[Kvinneandel-I]]*Vekter!$F$3</f>
        <v>4.2088197703358432</v>
      </c>
      <c r="AH204" s="55">
        <f>Tabell2[[#This Row],[Eldreandel-I]]*Vekter!$G$3</f>
        <v>5</v>
      </c>
      <c r="AI204" s="55">
        <f>Tabell2[[#This Row],[Sysselsettingsvekst10-I]]*Vekter!$H$3</f>
        <v>10</v>
      </c>
      <c r="AJ204" s="55">
        <f>Tabell2[[#This Row],[Yrkesaktivandel-I]]*Vekter!$J$3</f>
        <v>4.138253563529946</v>
      </c>
      <c r="AK204" s="55">
        <f>Tabell2[[#This Row],[Inntekt-I]]*Vekter!$L$3</f>
        <v>7.7269561179475277</v>
      </c>
      <c r="AL204" s="56">
        <f>SUM(Tabell2[[#This Row],[NIBR11-v]:[Inntekt-v]])</f>
        <v>71.133540619062586</v>
      </c>
    </row>
    <row r="205" spans="1:38" x14ac:dyDescent="0.25">
      <c r="A205" s="2" t="s">
        <v>202</v>
      </c>
      <c r="B205">
        <f>'Rådata-K'!M204</f>
        <v>6</v>
      </c>
      <c r="C205" s="7">
        <f>'Rådata-K'!L204</f>
        <v>189.48333333329998</v>
      </c>
      <c r="D205" s="34">
        <f>'Rådata-K'!N204</f>
        <v>47.700356911096691</v>
      </c>
      <c r="E205" s="34">
        <f>'Rådata-K'!O204</f>
        <v>8.59649122807018E-2</v>
      </c>
      <c r="F205" s="34">
        <f>'Rådata-K'!P204</f>
        <v>0.11716690757588641</v>
      </c>
      <c r="G205" s="34">
        <f>'Rådata-K'!Q204</f>
        <v>0.13272680894481761</v>
      </c>
      <c r="H205" s="34">
        <f>'Rådata-K'!R204</f>
        <v>0.15217903415783285</v>
      </c>
      <c r="I205" s="34">
        <f>'Rådata-K'!S204</f>
        <v>0.90775585130793945</v>
      </c>
      <c r="J205" s="22">
        <f>'Rådata-K'!K204</f>
        <v>411700</v>
      </c>
      <c r="K205" s="22">
        <f>Tabell2[[#This Row],[NIBR11]]</f>
        <v>6</v>
      </c>
      <c r="L205" s="32">
        <f>IF(Tabell2[[#This Row],[ReisetidOslo]]&lt;=C$434,C$434,IF(Tabell2[[#This Row],[ReisetidOslo]]&gt;=C$435,C$435,Tabell2[[#This Row],[ReisetidOslo]]))</f>
        <v>189.48333333329998</v>
      </c>
      <c r="M205" s="32">
        <f>IF(Tabell2[[#This Row],[Beftettotal]]&lt;=D$434,D$434,IF(Tabell2[[#This Row],[Beftettotal]]&gt;=D$435,D$435,Tabell2[[#This Row],[Beftettotal]]))</f>
        <v>47.700356911096691</v>
      </c>
      <c r="N205" s="34">
        <f>IF(Tabell2[[#This Row],[Befvekst10]]&lt;=E$434,E$434,IF(Tabell2[[#This Row],[Befvekst10]]&gt;=E$435,E$435,Tabell2[[#This Row],[Befvekst10]]))</f>
        <v>8.59649122807018E-2</v>
      </c>
      <c r="O205" s="34">
        <f>IF(Tabell2[[#This Row],[Kvinneandel]]&lt;=F$434,F$434,IF(Tabell2[[#This Row],[Kvinneandel]]&gt;=F$435,F$435,Tabell2[[#This Row],[Kvinneandel]]))</f>
        <v>0.11716690757588641</v>
      </c>
      <c r="P205" s="34">
        <f>IF(Tabell2[[#This Row],[Eldreandel]]&lt;=G$434,G$434,IF(Tabell2[[#This Row],[Eldreandel]]&gt;=G$435,G$435,Tabell2[[#This Row],[Eldreandel]]))</f>
        <v>0.13272680894481761</v>
      </c>
      <c r="Q205" s="34">
        <f>IF(Tabell2[[#This Row],[Sysselsettingsvekst10]]&lt;=H$434,H$434,IF(Tabell2[[#This Row],[Sysselsettingsvekst10]]&gt;=H$435,H$435,Tabell2[[#This Row],[Sysselsettingsvekst10]]))</f>
        <v>0.15217903415783285</v>
      </c>
      <c r="R205" s="34">
        <f>IF(Tabell2[[#This Row],[Yrkesaktivandel]]&lt;=I$434,I$434,IF(Tabell2[[#This Row],[Yrkesaktivandel]]&gt;=I$435,I$435,Tabell2[[#This Row],[Yrkesaktivandel]]))</f>
        <v>0.90775585130793945</v>
      </c>
      <c r="S205" s="22">
        <f>IF(Tabell2[[#This Row],[Inntekt]]&lt;=J$434,J$434,IF(Tabell2[[#This Row],[Inntekt]]&gt;=J$435,J$435,Tabell2[[#This Row],[Inntekt]]))</f>
        <v>411700</v>
      </c>
      <c r="T205" s="22">
        <f>IF(Tabell2[[#This Row],[NIBR11-T]]&lt;=K$437,100,IF(Tabell2[[#This Row],[NIBR11-T]]&gt;=K$436,0,100*(K$436-Tabell2[[#This Row],[NIBR11-T]])/K$439))</f>
        <v>50</v>
      </c>
      <c r="U205" s="7">
        <f>IF(Tabell2[[#This Row],[ReisetidOslo-T]]&lt;=L$437,100,IF(Tabell2[[#This Row],[ReisetidOslo-T]]&gt;=L$436,0,100*(L$436-Tabell2[[#This Row],[ReisetidOslo-T]])/L$439))</f>
        <v>39.915173674609456</v>
      </c>
      <c r="V205" s="7">
        <f>100-(M$436-Tabell2[[#This Row],[Beftettotal-T]])*100/M$439</f>
        <v>35.870929426406278</v>
      </c>
      <c r="W205" s="7">
        <f>100-(N$436-Tabell2[[#This Row],[Befvekst10-T]])*100/N$439</f>
        <v>65.291973918618197</v>
      </c>
      <c r="X205" s="7">
        <f>100-(O$436-Tabell2[[#This Row],[Kvinneandel-T]])*100/O$439</f>
        <v>70.492712995204514</v>
      </c>
      <c r="Y205" s="7">
        <f>(P$436-Tabell2[[#This Row],[Eldreandel-T]])*100/P$439</f>
        <v>89.477042277719107</v>
      </c>
      <c r="Z205" s="7">
        <f>100-(Q$436-Tabell2[[#This Row],[Sysselsettingsvekst10-T]])*100/Q$439</f>
        <v>66.028050023718407</v>
      </c>
      <c r="AA205" s="7">
        <f>100-(R$436-Tabell2[[#This Row],[Yrkesaktivandel-T]])*100/R$439</f>
        <v>58.266864981949311</v>
      </c>
      <c r="AB205" s="7">
        <f>100-(S$436-Tabell2[[#This Row],[Inntekt-T]])*100/S$439</f>
        <v>92.941722776874855</v>
      </c>
      <c r="AC205" s="55">
        <f>Tabell2[[#This Row],[NIBR11-I]]*Vekter!$B$3</f>
        <v>10</v>
      </c>
      <c r="AD205" s="55">
        <f>Tabell2[[#This Row],[ReisetidOslo-I]]*Vekter!$C$3</f>
        <v>3.9915173674609457</v>
      </c>
      <c r="AE205" s="55">
        <f>Tabell2[[#This Row],[Beftettotal-I]]*Vekter!$D$3</f>
        <v>3.5870929426406279</v>
      </c>
      <c r="AF205" s="55">
        <f>Tabell2[[#This Row],[Befvekst10-I]]*Vekter!$E$3</f>
        <v>13.05839478372364</v>
      </c>
      <c r="AG205" s="55">
        <f>Tabell2[[#This Row],[Kvinneandel-I]]*Vekter!$F$3</f>
        <v>3.524635649760226</v>
      </c>
      <c r="AH205" s="55">
        <f>Tabell2[[#This Row],[Eldreandel-I]]*Vekter!$G$3</f>
        <v>4.4738521138859557</v>
      </c>
      <c r="AI205" s="55">
        <f>Tabell2[[#This Row],[Sysselsettingsvekst10-I]]*Vekter!$H$3</f>
        <v>6.6028050023718414</v>
      </c>
      <c r="AJ205" s="55">
        <f>Tabell2[[#This Row],[Yrkesaktivandel-I]]*Vekter!$J$3</f>
        <v>5.8266864981949311</v>
      </c>
      <c r="AK205" s="55">
        <f>Tabell2[[#This Row],[Inntekt-I]]*Vekter!$L$3</f>
        <v>9.2941722776874851</v>
      </c>
      <c r="AL205" s="56">
        <f>SUM(Tabell2[[#This Row],[NIBR11-v]:[Inntekt-v]])</f>
        <v>60.359156635725661</v>
      </c>
    </row>
    <row r="206" spans="1:38" x14ac:dyDescent="0.25">
      <c r="A206" s="2" t="s">
        <v>203</v>
      </c>
      <c r="B206">
        <f>'Rådata-K'!M205</f>
        <v>6</v>
      </c>
      <c r="C206" s="7">
        <f>'Rådata-K'!L205</f>
        <v>172.3333333333</v>
      </c>
      <c r="D206" s="34">
        <f>'Rådata-K'!N205</f>
        <v>130.02783576896312</v>
      </c>
      <c r="E206" s="34">
        <f>'Rådata-K'!O205</f>
        <v>0.13132719786873337</v>
      </c>
      <c r="F206" s="34">
        <f>'Rådata-K'!P205</f>
        <v>0.12512710730532511</v>
      </c>
      <c r="G206" s="34">
        <f>'Rådata-K'!Q205</f>
        <v>0.12619748461332619</v>
      </c>
      <c r="H206" s="34">
        <f>'Rådata-K'!R205</f>
        <v>0.13460440689576436</v>
      </c>
      <c r="I206" s="34">
        <f>'Rådata-K'!S205</f>
        <v>0.89775676677790139</v>
      </c>
      <c r="J206" s="22">
        <f>'Rådata-K'!K205</f>
        <v>405900</v>
      </c>
      <c r="K206" s="22">
        <f>Tabell2[[#This Row],[NIBR11]]</f>
        <v>6</v>
      </c>
      <c r="L206" s="32">
        <f>IF(Tabell2[[#This Row],[ReisetidOslo]]&lt;=C$434,C$434,IF(Tabell2[[#This Row],[ReisetidOslo]]&gt;=C$435,C$435,Tabell2[[#This Row],[ReisetidOslo]]))</f>
        <v>172.3333333333</v>
      </c>
      <c r="M206" s="32">
        <f>IF(Tabell2[[#This Row],[Beftettotal]]&lt;=D$434,D$434,IF(Tabell2[[#This Row],[Beftettotal]]&gt;=D$435,D$435,Tabell2[[#This Row],[Beftettotal]]))</f>
        <v>130.02783576896312</v>
      </c>
      <c r="N206" s="34">
        <f>IF(Tabell2[[#This Row],[Befvekst10]]&lt;=E$434,E$434,IF(Tabell2[[#This Row],[Befvekst10]]&gt;=E$435,E$435,Tabell2[[#This Row],[Befvekst10]]))</f>
        <v>0.13132719786873337</v>
      </c>
      <c r="O206" s="34">
        <f>IF(Tabell2[[#This Row],[Kvinneandel]]&lt;=F$434,F$434,IF(Tabell2[[#This Row],[Kvinneandel]]&gt;=F$435,F$435,Tabell2[[#This Row],[Kvinneandel]]))</f>
        <v>0.12512710730532511</v>
      </c>
      <c r="P206" s="34">
        <f>IF(Tabell2[[#This Row],[Eldreandel]]&lt;=G$434,G$434,IF(Tabell2[[#This Row],[Eldreandel]]&gt;=G$435,G$435,Tabell2[[#This Row],[Eldreandel]]))</f>
        <v>0.12619748461332619</v>
      </c>
      <c r="Q206" s="34">
        <f>IF(Tabell2[[#This Row],[Sysselsettingsvekst10]]&lt;=H$434,H$434,IF(Tabell2[[#This Row],[Sysselsettingsvekst10]]&gt;=H$435,H$435,Tabell2[[#This Row],[Sysselsettingsvekst10]]))</f>
        <v>0.13460440689576436</v>
      </c>
      <c r="R206" s="34">
        <f>IF(Tabell2[[#This Row],[Yrkesaktivandel]]&lt;=I$434,I$434,IF(Tabell2[[#This Row],[Yrkesaktivandel]]&gt;=I$435,I$435,Tabell2[[#This Row],[Yrkesaktivandel]]))</f>
        <v>0.89775676677790139</v>
      </c>
      <c r="S206" s="22">
        <f>IF(Tabell2[[#This Row],[Inntekt]]&lt;=J$434,J$434,IF(Tabell2[[#This Row],[Inntekt]]&gt;=J$435,J$435,Tabell2[[#This Row],[Inntekt]]))</f>
        <v>405900</v>
      </c>
      <c r="T206" s="22">
        <f>IF(Tabell2[[#This Row],[NIBR11-T]]&lt;=K$437,100,IF(Tabell2[[#This Row],[NIBR11-T]]&gt;=K$436,0,100*(K$436-Tabell2[[#This Row],[NIBR11-T]])/K$439))</f>
        <v>50</v>
      </c>
      <c r="U206" s="7">
        <f>IF(Tabell2[[#This Row],[ReisetidOslo-T]]&lt;=L$437,100,IF(Tabell2[[#This Row],[ReisetidOslo-T]]&gt;=L$436,0,100*(L$436-Tabell2[[#This Row],[ReisetidOslo-T]])/L$439))</f>
        <v>47.439853747734809</v>
      </c>
      <c r="V206" s="7">
        <f>100-(M$436-Tabell2[[#This Row],[Beftettotal-T]])*100/M$439</f>
        <v>99.557061432915475</v>
      </c>
      <c r="W206" s="7">
        <f>100-(N$436-Tabell2[[#This Row],[Befvekst10-T]])*100/N$439</f>
        <v>83.556488278883577</v>
      </c>
      <c r="X206" s="7">
        <f>100-(O$436-Tabell2[[#This Row],[Kvinneandel-T]])*100/O$439</f>
        <v>91.527393272212947</v>
      </c>
      <c r="Y206" s="7">
        <f>(P$436-Tabell2[[#This Row],[Eldreandel-T]])*100/P$439</f>
        <v>96.631562070235773</v>
      </c>
      <c r="Z206" s="7">
        <f>100-(Q$436-Tabell2[[#This Row],[Sysselsettingsvekst10-T]])*100/Q$439</f>
        <v>60.798879528861761</v>
      </c>
      <c r="AA206" s="7">
        <f>100-(R$436-Tabell2[[#This Row],[Yrkesaktivandel-T]])*100/R$439</f>
        <v>50.578651392035958</v>
      </c>
      <c r="AB206" s="7">
        <f>100-(S$436-Tabell2[[#This Row],[Inntekt-T]])*100/S$439</f>
        <v>86.208497794288363</v>
      </c>
      <c r="AC206" s="55">
        <f>Tabell2[[#This Row],[NIBR11-I]]*Vekter!$B$3</f>
        <v>10</v>
      </c>
      <c r="AD206" s="55">
        <f>Tabell2[[#This Row],[ReisetidOslo-I]]*Vekter!$C$3</f>
        <v>4.743985374773481</v>
      </c>
      <c r="AE206" s="55">
        <f>Tabell2[[#This Row],[Beftettotal-I]]*Vekter!$D$3</f>
        <v>9.9557061432915486</v>
      </c>
      <c r="AF206" s="55">
        <f>Tabell2[[#This Row],[Befvekst10-I]]*Vekter!$E$3</f>
        <v>16.711297655776715</v>
      </c>
      <c r="AG206" s="55">
        <f>Tabell2[[#This Row],[Kvinneandel-I]]*Vekter!$F$3</f>
        <v>4.5763696636106479</v>
      </c>
      <c r="AH206" s="55">
        <f>Tabell2[[#This Row],[Eldreandel-I]]*Vekter!$G$3</f>
        <v>4.8315781035117888</v>
      </c>
      <c r="AI206" s="55">
        <f>Tabell2[[#This Row],[Sysselsettingsvekst10-I]]*Vekter!$H$3</f>
        <v>6.0798879528861764</v>
      </c>
      <c r="AJ206" s="55">
        <f>Tabell2[[#This Row],[Yrkesaktivandel-I]]*Vekter!$J$3</f>
        <v>5.0578651392035958</v>
      </c>
      <c r="AK206" s="55">
        <f>Tabell2[[#This Row],[Inntekt-I]]*Vekter!$L$3</f>
        <v>8.6208497794288359</v>
      </c>
      <c r="AL206" s="56">
        <f>SUM(Tabell2[[#This Row],[NIBR11-v]:[Inntekt-v]])</f>
        <v>70.577539812482783</v>
      </c>
    </row>
    <row r="207" spans="1:38" x14ac:dyDescent="0.25">
      <c r="A207" s="2" t="s">
        <v>204</v>
      </c>
      <c r="B207">
        <f>'Rådata-K'!M206</f>
        <v>6</v>
      </c>
      <c r="C207" s="7">
        <f>'Rådata-K'!L206</f>
        <v>176.25</v>
      </c>
      <c r="D207" s="34">
        <f>'Rådata-K'!N206</f>
        <v>21.715930632591451</v>
      </c>
      <c r="E207" s="34">
        <f>'Rådata-K'!O206</f>
        <v>6.8393782383419754E-2</v>
      </c>
      <c r="F207" s="34">
        <f>'Rådata-K'!P206</f>
        <v>0.11348205625606207</v>
      </c>
      <c r="G207" s="34">
        <f>'Rådata-K'!Q206</f>
        <v>0.13029421273844163</v>
      </c>
      <c r="H207" s="34">
        <f>'Rådata-K'!R206</f>
        <v>0.10875331564986745</v>
      </c>
      <c r="I207" s="34">
        <f>'Rådata-K'!S206</f>
        <v>0.9196378041878891</v>
      </c>
      <c r="J207" s="22">
        <f>'Rådata-K'!K206</f>
        <v>404300</v>
      </c>
      <c r="K207" s="22">
        <f>Tabell2[[#This Row],[NIBR11]]</f>
        <v>6</v>
      </c>
      <c r="L207" s="32">
        <f>IF(Tabell2[[#This Row],[ReisetidOslo]]&lt;=C$434,C$434,IF(Tabell2[[#This Row],[ReisetidOslo]]&gt;=C$435,C$435,Tabell2[[#This Row],[ReisetidOslo]]))</f>
        <v>176.25</v>
      </c>
      <c r="M207" s="32">
        <f>IF(Tabell2[[#This Row],[Beftettotal]]&lt;=D$434,D$434,IF(Tabell2[[#This Row],[Beftettotal]]&gt;=D$435,D$435,Tabell2[[#This Row],[Beftettotal]]))</f>
        <v>21.715930632591451</v>
      </c>
      <c r="N207" s="34">
        <f>IF(Tabell2[[#This Row],[Befvekst10]]&lt;=E$434,E$434,IF(Tabell2[[#This Row],[Befvekst10]]&gt;=E$435,E$435,Tabell2[[#This Row],[Befvekst10]]))</f>
        <v>6.8393782383419754E-2</v>
      </c>
      <c r="O207" s="34">
        <f>IF(Tabell2[[#This Row],[Kvinneandel]]&lt;=F$434,F$434,IF(Tabell2[[#This Row],[Kvinneandel]]&gt;=F$435,F$435,Tabell2[[#This Row],[Kvinneandel]]))</f>
        <v>0.11348205625606207</v>
      </c>
      <c r="P207" s="34">
        <f>IF(Tabell2[[#This Row],[Eldreandel]]&lt;=G$434,G$434,IF(Tabell2[[#This Row],[Eldreandel]]&gt;=G$435,G$435,Tabell2[[#This Row],[Eldreandel]]))</f>
        <v>0.13029421273844163</v>
      </c>
      <c r="Q207" s="34">
        <f>IF(Tabell2[[#This Row],[Sysselsettingsvekst10]]&lt;=H$434,H$434,IF(Tabell2[[#This Row],[Sysselsettingsvekst10]]&gt;=H$435,H$435,Tabell2[[#This Row],[Sysselsettingsvekst10]]))</f>
        <v>0.10875331564986745</v>
      </c>
      <c r="R207" s="34">
        <f>IF(Tabell2[[#This Row],[Yrkesaktivandel]]&lt;=I$434,I$434,IF(Tabell2[[#This Row],[Yrkesaktivandel]]&gt;=I$435,I$435,Tabell2[[#This Row],[Yrkesaktivandel]]))</f>
        <v>0.9196378041878891</v>
      </c>
      <c r="S207" s="22">
        <f>IF(Tabell2[[#This Row],[Inntekt]]&lt;=J$434,J$434,IF(Tabell2[[#This Row],[Inntekt]]&gt;=J$435,J$435,Tabell2[[#This Row],[Inntekt]]))</f>
        <v>404300</v>
      </c>
      <c r="T207" s="22">
        <f>IF(Tabell2[[#This Row],[NIBR11-T]]&lt;=K$437,100,IF(Tabell2[[#This Row],[NIBR11-T]]&gt;=K$436,0,100*(K$436-Tabell2[[#This Row],[NIBR11-T]])/K$439))</f>
        <v>50</v>
      </c>
      <c r="U207" s="7">
        <f>IF(Tabell2[[#This Row],[ReisetidOslo-T]]&lt;=L$437,100,IF(Tabell2[[#This Row],[ReisetidOslo-T]]&gt;=L$436,0,100*(L$436-Tabell2[[#This Row],[ReisetidOslo-T]])/L$439))</f>
        <v>45.721389396714883</v>
      </c>
      <c r="V207" s="7">
        <f>100-(M$436-Tabell2[[#This Row],[Beftettotal-T]])*100/M$439</f>
        <v>15.770136531444834</v>
      </c>
      <c r="W207" s="7">
        <f>100-(N$436-Tabell2[[#This Row],[Befvekst10-T]])*100/N$439</f>
        <v>58.217194723196229</v>
      </c>
      <c r="X207" s="7">
        <f>100-(O$436-Tabell2[[#This Row],[Kvinneandel-T]])*100/O$439</f>
        <v>60.755561665424629</v>
      </c>
      <c r="Y207" s="7">
        <f>(P$436-Tabell2[[#This Row],[Eldreandel-T]])*100/P$439</f>
        <v>92.14256428614145</v>
      </c>
      <c r="Z207" s="7">
        <f>100-(Q$436-Tabell2[[#This Row],[Sysselsettingsvekst10-T]])*100/Q$439</f>
        <v>53.107122452758595</v>
      </c>
      <c r="AA207" s="7">
        <f>100-(R$436-Tabell2[[#This Row],[Yrkesaktivandel-T]])*100/R$439</f>
        <v>67.402800510038219</v>
      </c>
      <c r="AB207" s="7">
        <f>100-(S$436-Tabell2[[#This Row],[Inntekt-T]])*100/S$439</f>
        <v>84.351056419781756</v>
      </c>
      <c r="AC207" s="55">
        <f>Tabell2[[#This Row],[NIBR11-I]]*Vekter!$B$3</f>
        <v>10</v>
      </c>
      <c r="AD207" s="55">
        <f>Tabell2[[#This Row],[ReisetidOslo-I]]*Vekter!$C$3</f>
        <v>4.5721389396714889</v>
      </c>
      <c r="AE207" s="55">
        <f>Tabell2[[#This Row],[Beftettotal-I]]*Vekter!$D$3</f>
        <v>1.5770136531444834</v>
      </c>
      <c r="AF207" s="55">
        <f>Tabell2[[#This Row],[Befvekst10-I]]*Vekter!$E$3</f>
        <v>11.643438944639247</v>
      </c>
      <c r="AG207" s="55">
        <f>Tabell2[[#This Row],[Kvinneandel-I]]*Vekter!$F$3</f>
        <v>3.0377780832712316</v>
      </c>
      <c r="AH207" s="55">
        <f>Tabell2[[#This Row],[Eldreandel-I]]*Vekter!$G$3</f>
        <v>4.6071282143070729</v>
      </c>
      <c r="AI207" s="55">
        <f>Tabell2[[#This Row],[Sysselsettingsvekst10-I]]*Vekter!$H$3</f>
        <v>5.3107122452758597</v>
      </c>
      <c r="AJ207" s="55">
        <f>Tabell2[[#This Row],[Yrkesaktivandel-I]]*Vekter!$J$3</f>
        <v>6.7402800510038219</v>
      </c>
      <c r="AK207" s="55">
        <f>Tabell2[[#This Row],[Inntekt-I]]*Vekter!$L$3</f>
        <v>8.4351056419781756</v>
      </c>
      <c r="AL207" s="56">
        <f>SUM(Tabell2[[#This Row],[NIBR11-v]:[Inntekt-v]])</f>
        <v>55.923595773291382</v>
      </c>
    </row>
    <row r="208" spans="1:38" x14ac:dyDescent="0.25">
      <c r="A208" s="2" t="s">
        <v>205</v>
      </c>
      <c r="B208">
        <f>'Rådata-K'!M207</f>
        <v>6</v>
      </c>
      <c r="C208" s="7">
        <f>'Rådata-K'!L207</f>
        <v>204.6666666667</v>
      </c>
      <c r="D208" s="34">
        <f>'Rådata-K'!N207</f>
        <v>10.905099760887461</v>
      </c>
      <c r="E208" s="34">
        <f>'Rådata-K'!O207</f>
        <v>-1.522123893805305E-2</v>
      </c>
      <c r="F208" s="34">
        <f>'Rådata-K'!P207</f>
        <v>9.9928109273903665E-2</v>
      </c>
      <c r="G208" s="34">
        <f>'Rådata-K'!Q207</f>
        <v>0.20596693026599569</v>
      </c>
      <c r="H208" s="34">
        <f>'Rådata-K'!R207</f>
        <v>0.1180061037639879</v>
      </c>
      <c r="I208" s="34">
        <f>'Rådata-K'!S207</f>
        <v>0.91395663956639561</v>
      </c>
      <c r="J208" s="22">
        <f>'Rådata-K'!K207</f>
        <v>381300</v>
      </c>
      <c r="K208" s="22">
        <f>Tabell2[[#This Row],[NIBR11]]</f>
        <v>6</v>
      </c>
      <c r="L208" s="32">
        <f>IF(Tabell2[[#This Row],[ReisetidOslo]]&lt;=C$434,C$434,IF(Tabell2[[#This Row],[ReisetidOslo]]&gt;=C$435,C$435,Tabell2[[#This Row],[ReisetidOslo]]))</f>
        <v>204.6666666667</v>
      </c>
      <c r="M208" s="32">
        <f>IF(Tabell2[[#This Row],[Beftettotal]]&lt;=D$434,D$434,IF(Tabell2[[#This Row],[Beftettotal]]&gt;=D$435,D$435,Tabell2[[#This Row],[Beftettotal]]))</f>
        <v>10.905099760887461</v>
      </c>
      <c r="N208" s="34">
        <f>IF(Tabell2[[#This Row],[Befvekst10]]&lt;=E$434,E$434,IF(Tabell2[[#This Row],[Befvekst10]]&gt;=E$435,E$435,Tabell2[[#This Row],[Befvekst10]]))</f>
        <v>-1.522123893805305E-2</v>
      </c>
      <c r="O208" s="34">
        <f>IF(Tabell2[[#This Row],[Kvinneandel]]&lt;=F$434,F$434,IF(Tabell2[[#This Row],[Kvinneandel]]&gt;=F$435,F$435,Tabell2[[#This Row],[Kvinneandel]]))</f>
        <v>9.9928109273903665E-2</v>
      </c>
      <c r="P208" s="34">
        <f>IF(Tabell2[[#This Row],[Eldreandel]]&lt;=G$434,G$434,IF(Tabell2[[#This Row],[Eldreandel]]&gt;=G$435,G$435,Tabell2[[#This Row],[Eldreandel]]))</f>
        <v>0.20596693026599569</v>
      </c>
      <c r="Q208" s="34">
        <f>IF(Tabell2[[#This Row],[Sysselsettingsvekst10]]&lt;=H$434,H$434,IF(Tabell2[[#This Row],[Sysselsettingsvekst10]]&gt;=H$435,H$435,Tabell2[[#This Row],[Sysselsettingsvekst10]]))</f>
        <v>0.1180061037639879</v>
      </c>
      <c r="R208" s="34">
        <f>IF(Tabell2[[#This Row],[Yrkesaktivandel]]&lt;=I$434,I$434,IF(Tabell2[[#This Row],[Yrkesaktivandel]]&gt;=I$435,I$435,Tabell2[[#This Row],[Yrkesaktivandel]]))</f>
        <v>0.91395663956639561</v>
      </c>
      <c r="S208" s="22">
        <f>IF(Tabell2[[#This Row],[Inntekt]]&lt;=J$434,J$434,IF(Tabell2[[#This Row],[Inntekt]]&gt;=J$435,J$435,Tabell2[[#This Row],[Inntekt]]))</f>
        <v>381300</v>
      </c>
      <c r="T208" s="22">
        <f>IF(Tabell2[[#This Row],[NIBR11-T]]&lt;=K$437,100,IF(Tabell2[[#This Row],[NIBR11-T]]&gt;=K$436,0,100*(K$436-Tabell2[[#This Row],[NIBR11-T]])/K$439))</f>
        <v>50</v>
      </c>
      <c r="U208" s="7">
        <f>IF(Tabell2[[#This Row],[ReisetidOslo-T]]&lt;=L$437,100,IF(Tabell2[[#This Row],[ReisetidOslo-T]]&gt;=L$436,0,100*(L$436-Tabell2[[#This Row],[ReisetidOslo-T]])/L$439))</f>
        <v>33.253382084087278</v>
      </c>
      <c r="V208" s="7">
        <f>100-(M$436-Tabell2[[#This Row],[Beftettotal-T]])*100/M$439</f>
        <v>7.4071936653813566</v>
      </c>
      <c r="W208" s="7">
        <f>100-(N$436-Tabell2[[#This Row],[Befvekst10-T]])*100/N$439</f>
        <v>24.550730658103575</v>
      </c>
      <c r="X208" s="7">
        <f>100-(O$436-Tabell2[[#This Row],[Kvinneandel-T]])*100/O$439</f>
        <v>24.939507929128624</v>
      </c>
      <c r="Y208" s="7">
        <f>(P$436-Tabell2[[#This Row],[Eldreandel-T]])*100/P$439</f>
        <v>9.2240373731520204</v>
      </c>
      <c r="Z208" s="7">
        <f>100-(Q$436-Tabell2[[#This Row],[Sysselsettingsvekst10-T]])*100/Q$439</f>
        <v>55.860205398986849</v>
      </c>
      <c r="AA208" s="7">
        <f>100-(R$436-Tabell2[[#This Row],[Yrkesaktivandel-T]])*100/R$439</f>
        <v>63.03459990944436</v>
      </c>
      <c r="AB208" s="7">
        <f>100-(S$436-Tabell2[[#This Row],[Inntekt-T]])*100/S$439</f>
        <v>57.650336661249128</v>
      </c>
      <c r="AC208" s="55">
        <f>Tabell2[[#This Row],[NIBR11-I]]*Vekter!$B$3</f>
        <v>10</v>
      </c>
      <c r="AD208" s="55">
        <f>Tabell2[[#This Row],[ReisetidOslo-I]]*Vekter!$C$3</f>
        <v>3.325338208408728</v>
      </c>
      <c r="AE208" s="55">
        <f>Tabell2[[#This Row],[Beftettotal-I]]*Vekter!$D$3</f>
        <v>0.74071936653813575</v>
      </c>
      <c r="AF208" s="55">
        <f>Tabell2[[#This Row],[Befvekst10-I]]*Vekter!$E$3</f>
        <v>4.9101461316207153</v>
      </c>
      <c r="AG208" s="55">
        <f>Tabell2[[#This Row],[Kvinneandel-I]]*Vekter!$F$3</f>
        <v>1.2469753964564312</v>
      </c>
      <c r="AH208" s="55">
        <f>Tabell2[[#This Row],[Eldreandel-I]]*Vekter!$G$3</f>
        <v>0.46120186865760104</v>
      </c>
      <c r="AI208" s="55">
        <f>Tabell2[[#This Row],[Sysselsettingsvekst10-I]]*Vekter!$H$3</f>
        <v>5.5860205398986853</v>
      </c>
      <c r="AJ208" s="55">
        <f>Tabell2[[#This Row],[Yrkesaktivandel-I]]*Vekter!$J$3</f>
        <v>6.303459990944436</v>
      </c>
      <c r="AK208" s="55">
        <f>Tabell2[[#This Row],[Inntekt-I]]*Vekter!$L$3</f>
        <v>5.7650336661249133</v>
      </c>
      <c r="AL208" s="56">
        <f>SUM(Tabell2[[#This Row],[NIBR11-v]:[Inntekt-v]])</f>
        <v>38.33889516864965</v>
      </c>
    </row>
    <row r="209" spans="1:38" x14ac:dyDescent="0.25">
      <c r="A209" s="2" t="s">
        <v>206</v>
      </c>
      <c r="B209">
        <f>'Rådata-K'!M208</f>
        <v>8</v>
      </c>
      <c r="C209" s="7">
        <f>'Rådata-K'!L208</f>
        <v>264.95</v>
      </c>
      <c r="D209" s="34">
        <f>'Rådata-K'!N208</f>
        <v>12.133158526858159</v>
      </c>
      <c r="E209" s="34">
        <f>'Rådata-K'!O208</f>
        <v>8.5352842554489161E-3</v>
      </c>
      <c r="F209" s="34">
        <f>'Rådata-K'!P208</f>
        <v>0.10269004080398972</v>
      </c>
      <c r="G209" s="34">
        <f>'Rådata-K'!Q208</f>
        <v>0.17183013450204021</v>
      </c>
      <c r="H209" s="34">
        <f>'Rådata-K'!R208</f>
        <v>5.7116788321167844E-2</v>
      </c>
      <c r="I209" s="34">
        <f>'Rådata-K'!S208</f>
        <v>0.90683056292778319</v>
      </c>
      <c r="J209" s="22">
        <f>'Rådata-K'!K208</f>
        <v>383000</v>
      </c>
      <c r="K209" s="22">
        <f>Tabell2[[#This Row],[NIBR11]]</f>
        <v>8</v>
      </c>
      <c r="L209" s="32">
        <f>IF(Tabell2[[#This Row],[ReisetidOslo]]&lt;=C$434,C$434,IF(Tabell2[[#This Row],[ReisetidOslo]]&gt;=C$435,C$435,Tabell2[[#This Row],[ReisetidOslo]]))</f>
        <v>264.95</v>
      </c>
      <c r="M209" s="32">
        <f>IF(Tabell2[[#This Row],[Beftettotal]]&lt;=D$434,D$434,IF(Tabell2[[#This Row],[Beftettotal]]&gt;=D$435,D$435,Tabell2[[#This Row],[Beftettotal]]))</f>
        <v>12.133158526858159</v>
      </c>
      <c r="N209" s="34">
        <f>IF(Tabell2[[#This Row],[Befvekst10]]&lt;=E$434,E$434,IF(Tabell2[[#This Row],[Befvekst10]]&gt;=E$435,E$435,Tabell2[[#This Row],[Befvekst10]]))</f>
        <v>8.5352842554489161E-3</v>
      </c>
      <c r="O209" s="34">
        <f>IF(Tabell2[[#This Row],[Kvinneandel]]&lt;=F$434,F$434,IF(Tabell2[[#This Row],[Kvinneandel]]&gt;=F$435,F$435,Tabell2[[#This Row],[Kvinneandel]]))</f>
        <v>0.10269004080398972</v>
      </c>
      <c r="P209" s="34">
        <f>IF(Tabell2[[#This Row],[Eldreandel]]&lt;=G$434,G$434,IF(Tabell2[[#This Row],[Eldreandel]]&gt;=G$435,G$435,Tabell2[[#This Row],[Eldreandel]]))</f>
        <v>0.17183013450204021</v>
      </c>
      <c r="Q209" s="34">
        <f>IF(Tabell2[[#This Row],[Sysselsettingsvekst10]]&lt;=H$434,H$434,IF(Tabell2[[#This Row],[Sysselsettingsvekst10]]&gt;=H$435,H$435,Tabell2[[#This Row],[Sysselsettingsvekst10]]))</f>
        <v>5.7116788321167844E-2</v>
      </c>
      <c r="R209" s="34">
        <f>IF(Tabell2[[#This Row],[Yrkesaktivandel]]&lt;=I$434,I$434,IF(Tabell2[[#This Row],[Yrkesaktivandel]]&gt;=I$435,I$435,Tabell2[[#This Row],[Yrkesaktivandel]]))</f>
        <v>0.90683056292778319</v>
      </c>
      <c r="S209" s="22">
        <f>IF(Tabell2[[#This Row],[Inntekt]]&lt;=J$434,J$434,IF(Tabell2[[#This Row],[Inntekt]]&gt;=J$435,J$435,Tabell2[[#This Row],[Inntekt]]))</f>
        <v>383000</v>
      </c>
      <c r="T209" s="22">
        <f>IF(Tabell2[[#This Row],[NIBR11-T]]&lt;=K$437,100,IF(Tabell2[[#This Row],[NIBR11-T]]&gt;=K$436,0,100*(K$436-Tabell2[[#This Row],[NIBR11-T]])/K$439))</f>
        <v>30</v>
      </c>
      <c r="U209" s="7">
        <f>IF(Tabell2[[#This Row],[ReisetidOslo-T]]&lt;=L$437,100,IF(Tabell2[[#This Row],[ReisetidOslo-T]]&gt;=L$436,0,100*(L$436-Tabell2[[#This Row],[ReisetidOslo-T]])/L$439))</f>
        <v>6.8036563071393497</v>
      </c>
      <c r="V209" s="7">
        <f>100-(M$436-Tabell2[[#This Row],[Beftettotal-T]])*100/M$439</f>
        <v>8.3571840424264821</v>
      </c>
      <c r="W209" s="7">
        <f>100-(N$436-Tabell2[[#This Row],[Befvekst10-T]])*100/N$439</f>
        <v>34.115975296750591</v>
      </c>
      <c r="X209" s="7">
        <f>100-(O$436-Tabell2[[#This Row],[Kvinneandel-T]])*100/O$439</f>
        <v>32.237860816870224</v>
      </c>
      <c r="Y209" s="7">
        <f>(P$436-Tabell2[[#This Row],[Eldreandel-T]])*100/P$439</f>
        <v>46.629497501448512</v>
      </c>
      <c r="Z209" s="7">
        <f>100-(Q$436-Tabell2[[#This Row],[Sysselsettingsvekst10-T]])*100/Q$439</f>
        <v>37.7431433971758</v>
      </c>
      <c r="AA209" s="7">
        <f>100-(R$436-Tabell2[[#This Row],[Yrkesaktivandel-T]])*100/R$439</f>
        <v>57.555418381259436</v>
      </c>
      <c r="AB209" s="7">
        <f>100-(S$436-Tabell2[[#This Row],[Inntekt-T]])*100/S$439</f>
        <v>59.623868121662412</v>
      </c>
      <c r="AC209" s="55">
        <f>Tabell2[[#This Row],[NIBR11-I]]*Vekter!$B$3</f>
        <v>6</v>
      </c>
      <c r="AD209" s="55">
        <f>Tabell2[[#This Row],[ReisetidOslo-I]]*Vekter!$C$3</f>
        <v>0.68036563071393497</v>
      </c>
      <c r="AE209" s="55">
        <f>Tabell2[[#This Row],[Beftettotal-I]]*Vekter!$D$3</f>
        <v>0.83571840424264821</v>
      </c>
      <c r="AF209" s="55">
        <f>Tabell2[[#This Row],[Befvekst10-I]]*Vekter!$E$3</f>
        <v>6.8231950593501187</v>
      </c>
      <c r="AG209" s="55">
        <f>Tabell2[[#This Row],[Kvinneandel-I]]*Vekter!$F$3</f>
        <v>1.6118930408435113</v>
      </c>
      <c r="AH209" s="55">
        <f>Tabell2[[#This Row],[Eldreandel-I]]*Vekter!$G$3</f>
        <v>2.3314748750724257</v>
      </c>
      <c r="AI209" s="55">
        <f>Tabell2[[#This Row],[Sysselsettingsvekst10-I]]*Vekter!$H$3</f>
        <v>3.7743143397175802</v>
      </c>
      <c r="AJ209" s="55">
        <f>Tabell2[[#This Row],[Yrkesaktivandel-I]]*Vekter!$J$3</f>
        <v>5.7555418381259438</v>
      </c>
      <c r="AK209" s="55">
        <f>Tabell2[[#This Row],[Inntekt-I]]*Vekter!$L$3</f>
        <v>5.9623868121662413</v>
      </c>
      <c r="AL209" s="56">
        <f>SUM(Tabell2[[#This Row],[NIBR11-v]:[Inntekt-v]])</f>
        <v>33.774890000232404</v>
      </c>
    </row>
    <row r="210" spans="1:38" x14ac:dyDescent="0.25">
      <c r="A210" s="2" t="s">
        <v>207</v>
      </c>
      <c r="B210">
        <f>'Rådata-K'!M209</f>
        <v>9</v>
      </c>
      <c r="C210" s="7">
        <f>'Rådata-K'!L209</f>
        <v>247.6666666667</v>
      </c>
      <c r="D210" s="34">
        <f>'Rådata-K'!N209</f>
        <v>4.452179544258712</v>
      </c>
      <c r="E210" s="34">
        <f>'Rådata-K'!O209</f>
        <v>2.0408163265306145E-2</v>
      </c>
      <c r="F210" s="34">
        <f>'Rådata-K'!P209</f>
        <v>0.10909090909090909</v>
      </c>
      <c r="G210" s="34">
        <f>'Rådata-K'!Q209</f>
        <v>0.21090909090909091</v>
      </c>
      <c r="H210" s="34">
        <f>'Rådata-K'!R209</f>
        <v>-0.16417910447761197</v>
      </c>
      <c r="I210" s="34">
        <f>'Rådata-K'!S209</f>
        <v>0.90909090909090906</v>
      </c>
      <c r="J210" s="22">
        <f>'Rådata-K'!K209</f>
        <v>356800</v>
      </c>
      <c r="K210" s="22">
        <f>Tabell2[[#This Row],[NIBR11]]</f>
        <v>9</v>
      </c>
      <c r="L210" s="32">
        <f>IF(Tabell2[[#This Row],[ReisetidOslo]]&lt;=C$434,C$434,IF(Tabell2[[#This Row],[ReisetidOslo]]&gt;=C$435,C$435,Tabell2[[#This Row],[ReisetidOslo]]))</f>
        <v>247.6666666667</v>
      </c>
      <c r="M210" s="32">
        <f>IF(Tabell2[[#This Row],[Beftettotal]]&lt;=D$434,D$434,IF(Tabell2[[#This Row],[Beftettotal]]&gt;=D$435,D$435,Tabell2[[#This Row],[Beftettotal]]))</f>
        <v>4.452179544258712</v>
      </c>
      <c r="N210" s="34">
        <f>IF(Tabell2[[#This Row],[Befvekst10]]&lt;=E$434,E$434,IF(Tabell2[[#This Row],[Befvekst10]]&gt;=E$435,E$435,Tabell2[[#This Row],[Befvekst10]]))</f>
        <v>2.0408163265306145E-2</v>
      </c>
      <c r="O210" s="34">
        <f>IF(Tabell2[[#This Row],[Kvinneandel]]&lt;=F$434,F$434,IF(Tabell2[[#This Row],[Kvinneandel]]&gt;=F$435,F$435,Tabell2[[#This Row],[Kvinneandel]]))</f>
        <v>0.10909090909090909</v>
      </c>
      <c r="P210" s="34">
        <f>IF(Tabell2[[#This Row],[Eldreandel]]&lt;=G$434,G$434,IF(Tabell2[[#This Row],[Eldreandel]]&gt;=G$435,G$435,Tabell2[[#This Row],[Eldreandel]]))</f>
        <v>0.21090909090909091</v>
      </c>
      <c r="Q210" s="34">
        <f>IF(Tabell2[[#This Row],[Sysselsettingsvekst10]]&lt;=H$434,H$434,IF(Tabell2[[#This Row],[Sysselsettingsvekst10]]&gt;=H$435,H$435,Tabell2[[#This Row],[Sysselsettingsvekst10]]))</f>
        <v>-6.9733479337269061E-2</v>
      </c>
      <c r="R210" s="34">
        <f>IF(Tabell2[[#This Row],[Yrkesaktivandel]]&lt;=I$434,I$434,IF(Tabell2[[#This Row],[Yrkesaktivandel]]&gt;=I$435,I$435,Tabell2[[#This Row],[Yrkesaktivandel]]))</f>
        <v>0.90909090909090906</v>
      </c>
      <c r="S210" s="22">
        <f>IF(Tabell2[[#This Row],[Inntekt]]&lt;=J$434,J$434,IF(Tabell2[[#This Row],[Inntekt]]&gt;=J$435,J$435,Tabell2[[#This Row],[Inntekt]]))</f>
        <v>356800</v>
      </c>
      <c r="T210" s="22">
        <f>IF(Tabell2[[#This Row],[NIBR11-T]]&lt;=K$437,100,IF(Tabell2[[#This Row],[NIBR11-T]]&gt;=K$436,0,100*(K$436-Tabell2[[#This Row],[NIBR11-T]])/K$439))</f>
        <v>20</v>
      </c>
      <c r="U210" s="7">
        <f>IF(Tabell2[[#This Row],[ReisetidOslo-T]]&lt;=L$437,100,IF(Tabell2[[#This Row],[ReisetidOslo-T]]&gt;=L$436,0,100*(L$436-Tabell2[[#This Row],[ReisetidOslo-T]])/L$439))</f>
        <v>14.386837294326869</v>
      </c>
      <c r="V210" s="7">
        <f>100-(M$436-Tabell2[[#This Row],[Beftettotal-T]])*100/M$439</f>
        <v>2.4154031423994553</v>
      </c>
      <c r="W210" s="7">
        <f>100-(N$436-Tabell2[[#This Row],[Befvekst10-T]])*100/N$439</f>
        <v>38.896430389834471</v>
      </c>
      <c r="X210" s="7">
        <f>100-(O$436-Tabell2[[#This Row],[Kvinneandel-T]])*100/O$439</f>
        <v>49.152036652516685</v>
      </c>
      <c r="Y210" s="7">
        <f>(P$436-Tabell2[[#This Row],[Eldreandel-T]])*100/P$439</f>
        <v>3.8086552687153437</v>
      </c>
      <c r="Z210" s="7">
        <f>100-(Q$436-Tabell2[[#This Row],[Sysselsettingsvekst10-T]])*100/Q$439</f>
        <v>0</v>
      </c>
      <c r="AA210" s="7">
        <f>100-(R$436-Tabell2[[#This Row],[Yrkesaktivandel-T]])*100/R$439</f>
        <v>59.293379895340834</v>
      </c>
      <c r="AB210" s="7">
        <f>100-(S$436-Tabell2[[#This Row],[Inntekt-T]])*100/S$439</f>
        <v>29.208265614116556</v>
      </c>
      <c r="AC210" s="55">
        <f>Tabell2[[#This Row],[NIBR11-I]]*Vekter!$B$3</f>
        <v>4</v>
      </c>
      <c r="AD210" s="55">
        <f>Tabell2[[#This Row],[ReisetidOslo-I]]*Vekter!$C$3</f>
        <v>1.4386837294326869</v>
      </c>
      <c r="AE210" s="55">
        <f>Tabell2[[#This Row],[Beftettotal-I]]*Vekter!$D$3</f>
        <v>0.24154031423994554</v>
      </c>
      <c r="AF210" s="55">
        <f>Tabell2[[#This Row],[Befvekst10-I]]*Vekter!$E$3</f>
        <v>7.7792860779668942</v>
      </c>
      <c r="AG210" s="55">
        <f>Tabell2[[#This Row],[Kvinneandel-I]]*Vekter!$F$3</f>
        <v>2.4576018326258344</v>
      </c>
      <c r="AH210" s="55">
        <f>Tabell2[[#This Row],[Eldreandel-I]]*Vekter!$G$3</f>
        <v>0.1904327634357672</v>
      </c>
      <c r="AI210" s="55">
        <f>Tabell2[[#This Row],[Sysselsettingsvekst10-I]]*Vekter!$H$3</f>
        <v>0</v>
      </c>
      <c r="AJ210" s="55">
        <f>Tabell2[[#This Row],[Yrkesaktivandel-I]]*Vekter!$J$3</f>
        <v>5.9293379895340834</v>
      </c>
      <c r="AK210" s="55">
        <f>Tabell2[[#This Row],[Inntekt-I]]*Vekter!$L$3</f>
        <v>2.9208265614116558</v>
      </c>
      <c r="AL210" s="56">
        <f>SUM(Tabell2[[#This Row],[NIBR11-v]:[Inntekt-v]])</f>
        <v>24.957709268646866</v>
      </c>
    </row>
    <row r="211" spans="1:38" x14ac:dyDescent="0.25">
      <c r="A211" s="2" t="s">
        <v>208</v>
      </c>
      <c r="B211">
        <f>'Rådata-K'!M210</f>
        <v>7</v>
      </c>
      <c r="C211" s="7">
        <f>'Rådata-K'!L210</f>
        <v>266.14999999999998</v>
      </c>
      <c r="D211" s="34">
        <f>'Rådata-K'!N210</f>
        <v>4.3022730507645939</v>
      </c>
      <c r="E211" s="34">
        <f>'Rådata-K'!O210</f>
        <v>-5.7739224722146876E-2</v>
      </c>
      <c r="F211" s="34">
        <f>'Rådata-K'!P210</f>
        <v>0.10773878020713464</v>
      </c>
      <c r="G211" s="34">
        <f>'Rådata-K'!Q210</f>
        <v>0.19620253164556961</v>
      </c>
      <c r="H211" s="34">
        <f>'Rådata-K'!R210</f>
        <v>-2.048726467331119E-2</v>
      </c>
      <c r="I211" s="34">
        <f>'Rådata-K'!S210</f>
        <v>0.87853323147440798</v>
      </c>
      <c r="J211" s="22">
        <f>'Rådata-K'!K210</f>
        <v>368700</v>
      </c>
      <c r="K211" s="22">
        <f>Tabell2[[#This Row],[NIBR11]]</f>
        <v>7</v>
      </c>
      <c r="L211" s="32">
        <f>IF(Tabell2[[#This Row],[ReisetidOslo]]&lt;=C$434,C$434,IF(Tabell2[[#This Row],[ReisetidOslo]]&gt;=C$435,C$435,Tabell2[[#This Row],[ReisetidOslo]]))</f>
        <v>266.14999999999998</v>
      </c>
      <c r="M211" s="32">
        <f>IF(Tabell2[[#This Row],[Beftettotal]]&lt;=D$434,D$434,IF(Tabell2[[#This Row],[Beftettotal]]&gt;=D$435,D$435,Tabell2[[#This Row],[Beftettotal]]))</f>
        <v>4.3022730507645939</v>
      </c>
      <c r="N211" s="34">
        <f>IF(Tabell2[[#This Row],[Befvekst10]]&lt;=E$434,E$434,IF(Tabell2[[#This Row],[Befvekst10]]&gt;=E$435,E$435,Tabell2[[#This Row],[Befvekst10]]))</f>
        <v>-5.7739224722146876E-2</v>
      </c>
      <c r="O211" s="34">
        <f>IF(Tabell2[[#This Row],[Kvinneandel]]&lt;=F$434,F$434,IF(Tabell2[[#This Row],[Kvinneandel]]&gt;=F$435,F$435,Tabell2[[#This Row],[Kvinneandel]]))</f>
        <v>0.10773878020713464</v>
      </c>
      <c r="P211" s="34">
        <f>IF(Tabell2[[#This Row],[Eldreandel]]&lt;=G$434,G$434,IF(Tabell2[[#This Row],[Eldreandel]]&gt;=G$435,G$435,Tabell2[[#This Row],[Eldreandel]]))</f>
        <v>0.19620253164556961</v>
      </c>
      <c r="Q211" s="34">
        <f>IF(Tabell2[[#This Row],[Sysselsettingsvekst10]]&lt;=H$434,H$434,IF(Tabell2[[#This Row],[Sysselsettingsvekst10]]&gt;=H$435,H$435,Tabell2[[#This Row],[Sysselsettingsvekst10]]))</f>
        <v>-2.048726467331119E-2</v>
      </c>
      <c r="R211" s="34">
        <f>IF(Tabell2[[#This Row],[Yrkesaktivandel]]&lt;=I$434,I$434,IF(Tabell2[[#This Row],[Yrkesaktivandel]]&gt;=I$435,I$435,Tabell2[[#This Row],[Yrkesaktivandel]]))</f>
        <v>0.87853323147440798</v>
      </c>
      <c r="S211" s="22">
        <f>IF(Tabell2[[#This Row],[Inntekt]]&lt;=J$434,J$434,IF(Tabell2[[#This Row],[Inntekt]]&gt;=J$435,J$435,Tabell2[[#This Row],[Inntekt]]))</f>
        <v>368700</v>
      </c>
      <c r="T211" s="22">
        <f>IF(Tabell2[[#This Row],[NIBR11-T]]&lt;=K$437,100,IF(Tabell2[[#This Row],[NIBR11-T]]&gt;=K$436,0,100*(K$436-Tabell2[[#This Row],[NIBR11-T]])/K$439))</f>
        <v>40</v>
      </c>
      <c r="U211" s="7">
        <f>IF(Tabell2[[#This Row],[ReisetidOslo-T]]&lt;=L$437,100,IF(Tabell2[[#This Row],[ReisetidOslo-T]]&gt;=L$436,0,100*(L$436-Tabell2[[#This Row],[ReisetidOslo-T]])/L$439))</f>
        <v>6.2771480804483666</v>
      </c>
      <c r="V211" s="7">
        <f>100-(M$436-Tabell2[[#This Row],[Beftettotal-T]])*100/M$439</f>
        <v>2.2994398593529581</v>
      </c>
      <c r="W211" s="7">
        <f>100-(N$436-Tabell2[[#This Row],[Befvekst10-T]])*100/N$439</f>
        <v>7.4314353700365388</v>
      </c>
      <c r="X211" s="7">
        <f>100-(O$436-Tabell2[[#This Row],[Kvinneandel-T]])*100/O$439</f>
        <v>45.579061133030642</v>
      </c>
      <c r="Y211" s="7">
        <f>(P$436-Tabell2[[#This Row],[Eldreandel-T]])*100/P$439</f>
        <v>19.923396088558878</v>
      </c>
      <c r="Z211" s="7">
        <f>100-(Q$436-Tabell2[[#This Row],[Sysselsettingsvekst10-T]])*100/Q$439</f>
        <v>14.652763262862848</v>
      </c>
      <c r="AA211" s="7">
        <f>100-(R$436-Tabell2[[#This Row],[Yrkesaktivandel-T]])*100/R$439</f>
        <v>35.797833715926686</v>
      </c>
      <c r="AB211" s="7">
        <f>100-(S$436-Tabell2[[#This Row],[Inntekt-T]])*100/S$439</f>
        <v>43.022985837009522</v>
      </c>
      <c r="AC211" s="55">
        <f>Tabell2[[#This Row],[NIBR11-I]]*Vekter!$B$3</f>
        <v>8</v>
      </c>
      <c r="AD211" s="55">
        <f>Tabell2[[#This Row],[ReisetidOslo-I]]*Vekter!$C$3</f>
        <v>0.6277148080448367</v>
      </c>
      <c r="AE211" s="55">
        <f>Tabell2[[#This Row],[Beftettotal-I]]*Vekter!$D$3</f>
        <v>0.22994398593529583</v>
      </c>
      <c r="AF211" s="55">
        <f>Tabell2[[#This Row],[Befvekst10-I]]*Vekter!$E$3</f>
        <v>1.4862870740073078</v>
      </c>
      <c r="AG211" s="55">
        <f>Tabell2[[#This Row],[Kvinneandel-I]]*Vekter!$F$3</f>
        <v>2.2789530566515324</v>
      </c>
      <c r="AH211" s="55">
        <f>Tabell2[[#This Row],[Eldreandel-I]]*Vekter!$G$3</f>
        <v>0.99616980442794389</v>
      </c>
      <c r="AI211" s="55">
        <f>Tabell2[[#This Row],[Sysselsettingsvekst10-I]]*Vekter!$H$3</f>
        <v>1.4652763262862849</v>
      </c>
      <c r="AJ211" s="55">
        <f>Tabell2[[#This Row],[Yrkesaktivandel-I]]*Vekter!$J$3</f>
        <v>3.5797833715926686</v>
      </c>
      <c r="AK211" s="55">
        <f>Tabell2[[#This Row],[Inntekt-I]]*Vekter!$L$3</f>
        <v>4.302298583700952</v>
      </c>
      <c r="AL211" s="56">
        <f>SUM(Tabell2[[#This Row],[NIBR11-v]:[Inntekt-v]])</f>
        <v>22.966427010646825</v>
      </c>
    </row>
    <row r="212" spans="1:38" x14ac:dyDescent="0.25">
      <c r="A212" s="2" t="s">
        <v>209</v>
      </c>
      <c r="B212">
        <f>'Rådata-K'!M211</f>
        <v>7</v>
      </c>
      <c r="C212" s="7">
        <f>'Rådata-K'!L211</f>
        <v>265.91666666700002</v>
      </c>
      <c r="D212" s="34">
        <f>'Rådata-K'!N211</f>
        <v>2.4390069502045018</v>
      </c>
      <c r="E212" s="34">
        <f>'Rådata-K'!O211</f>
        <v>-3.0139323286892283E-2</v>
      </c>
      <c r="F212" s="34">
        <f>'Rådata-K'!P211</f>
        <v>0.10143652887716212</v>
      </c>
      <c r="G212" s="34">
        <f>'Rådata-K'!Q211</f>
        <v>0.20345939607153327</v>
      </c>
      <c r="H212" s="34">
        <f>'Rådata-K'!R211</f>
        <v>-9.1603053435114212E-3</v>
      </c>
      <c r="I212" s="34">
        <f>'Rådata-K'!S211</f>
        <v>0.97248211337369295</v>
      </c>
      <c r="J212" s="22">
        <f>'Rådata-K'!K211</f>
        <v>364100</v>
      </c>
      <c r="K212" s="22">
        <f>Tabell2[[#This Row],[NIBR11]]</f>
        <v>7</v>
      </c>
      <c r="L212" s="32">
        <f>IF(Tabell2[[#This Row],[ReisetidOslo]]&lt;=C$434,C$434,IF(Tabell2[[#This Row],[ReisetidOslo]]&gt;=C$435,C$435,Tabell2[[#This Row],[ReisetidOslo]]))</f>
        <v>265.91666666700002</v>
      </c>
      <c r="M212" s="32">
        <f>IF(Tabell2[[#This Row],[Beftettotal]]&lt;=D$434,D$434,IF(Tabell2[[#This Row],[Beftettotal]]&gt;=D$435,D$435,Tabell2[[#This Row],[Beftettotal]]))</f>
        <v>2.4390069502045018</v>
      </c>
      <c r="N212" s="34">
        <f>IF(Tabell2[[#This Row],[Befvekst10]]&lt;=E$434,E$434,IF(Tabell2[[#This Row],[Befvekst10]]&gt;=E$435,E$435,Tabell2[[#This Row],[Befvekst10]]))</f>
        <v>-3.0139323286892283E-2</v>
      </c>
      <c r="O212" s="34">
        <f>IF(Tabell2[[#This Row],[Kvinneandel]]&lt;=F$434,F$434,IF(Tabell2[[#This Row],[Kvinneandel]]&gt;=F$435,F$435,Tabell2[[#This Row],[Kvinneandel]]))</f>
        <v>0.10143652887716212</v>
      </c>
      <c r="P212" s="34">
        <f>IF(Tabell2[[#This Row],[Eldreandel]]&lt;=G$434,G$434,IF(Tabell2[[#This Row],[Eldreandel]]&gt;=G$435,G$435,Tabell2[[#This Row],[Eldreandel]]))</f>
        <v>0.20345939607153327</v>
      </c>
      <c r="Q212" s="34">
        <f>IF(Tabell2[[#This Row],[Sysselsettingsvekst10]]&lt;=H$434,H$434,IF(Tabell2[[#This Row],[Sysselsettingsvekst10]]&gt;=H$435,H$435,Tabell2[[#This Row],[Sysselsettingsvekst10]]))</f>
        <v>-9.1603053435114212E-3</v>
      </c>
      <c r="R212" s="34">
        <f>IF(Tabell2[[#This Row],[Yrkesaktivandel]]&lt;=I$434,I$434,IF(Tabell2[[#This Row],[Yrkesaktivandel]]&gt;=I$435,I$435,Tabell2[[#This Row],[Yrkesaktivandel]]))</f>
        <v>0.96203284815106216</v>
      </c>
      <c r="S212" s="22">
        <f>IF(Tabell2[[#This Row],[Inntekt]]&lt;=J$434,J$434,IF(Tabell2[[#This Row],[Inntekt]]&gt;=J$435,J$435,Tabell2[[#This Row],[Inntekt]]))</f>
        <v>364100</v>
      </c>
      <c r="T212" s="22">
        <f>IF(Tabell2[[#This Row],[NIBR11-T]]&lt;=K$437,100,IF(Tabell2[[#This Row],[NIBR11-T]]&gt;=K$436,0,100*(K$436-Tabell2[[#This Row],[NIBR11-T]])/K$439))</f>
        <v>40</v>
      </c>
      <c r="U212" s="7">
        <f>IF(Tabell2[[#This Row],[ReisetidOslo-T]]&lt;=L$437,100,IF(Tabell2[[#This Row],[ReisetidOslo-T]]&gt;=L$436,0,100*(L$436-Tabell2[[#This Row],[ReisetidOslo-T]])/L$439))</f>
        <v>6.3795246799364564</v>
      </c>
      <c r="V212" s="7">
        <f>100-(M$436-Tabell2[[#This Row],[Beftettotal-T]])*100/M$439</f>
        <v>0.85807164925157053</v>
      </c>
      <c r="W212" s="7">
        <f>100-(N$436-Tabell2[[#This Row],[Befvekst10-T]])*100/N$439</f>
        <v>18.544164580469399</v>
      </c>
      <c r="X212" s="7">
        <f>100-(O$436-Tabell2[[#This Row],[Kvinneandel-T]])*100/O$439</f>
        <v>28.925478778675497</v>
      </c>
      <c r="Y212" s="7">
        <f>(P$436-Tabell2[[#This Row],[Eldreandel-T]])*100/P$439</f>
        <v>11.971672827278077</v>
      </c>
      <c r="Z212" s="7">
        <f>100-(Q$436-Tabell2[[#This Row],[Sysselsettingsvekst10-T]])*100/Q$439</f>
        <v>18.022996989052203</v>
      </c>
      <c r="AA212" s="7">
        <f>100-(R$436-Tabell2[[#This Row],[Yrkesaktivandel-T]])*100/R$439</f>
        <v>100</v>
      </c>
      <c r="AB212" s="7">
        <f>100-(S$436-Tabell2[[#This Row],[Inntekt-T]])*100/S$439</f>
        <v>37.682841885302992</v>
      </c>
      <c r="AC212" s="55">
        <f>Tabell2[[#This Row],[NIBR11-I]]*Vekter!$B$3</f>
        <v>8</v>
      </c>
      <c r="AD212" s="55">
        <f>Tabell2[[#This Row],[ReisetidOslo-I]]*Vekter!$C$3</f>
        <v>0.63795246799364569</v>
      </c>
      <c r="AE212" s="55">
        <f>Tabell2[[#This Row],[Beftettotal-I]]*Vekter!$D$3</f>
        <v>8.5807164925157053E-2</v>
      </c>
      <c r="AF212" s="55">
        <f>Tabell2[[#This Row],[Befvekst10-I]]*Vekter!$E$3</f>
        <v>3.70883291609388</v>
      </c>
      <c r="AG212" s="55">
        <f>Tabell2[[#This Row],[Kvinneandel-I]]*Vekter!$F$3</f>
        <v>1.4462739389337749</v>
      </c>
      <c r="AH212" s="55">
        <f>Tabell2[[#This Row],[Eldreandel-I]]*Vekter!$G$3</f>
        <v>0.59858364136390385</v>
      </c>
      <c r="AI212" s="55">
        <f>Tabell2[[#This Row],[Sysselsettingsvekst10-I]]*Vekter!$H$3</f>
        <v>1.8022996989052205</v>
      </c>
      <c r="AJ212" s="55">
        <f>Tabell2[[#This Row],[Yrkesaktivandel-I]]*Vekter!$J$3</f>
        <v>10</v>
      </c>
      <c r="AK212" s="55">
        <f>Tabell2[[#This Row],[Inntekt-I]]*Vekter!$L$3</f>
        <v>3.7682841885302993</v>
      </c>
      <c r="AL212" s="56">
        <f>SUM(Tabell2[[#This Row],[NIBR11-v]:[Inntekt-v]])</f>
        <v>30.048034016745881</v>
      </c>
    </row>
    <row r="213" spans="1:38" x14ac:dyDescent="0.25">
      <c r="A213" s="2" t="s">
        <v>210</v>
      </c>
      <c r="B213">
        <f>'Rådata-K'!M212</f>
        <v>9</v>
      </c>
      <c r="C213" s="7">
        <f>'Rådata-K'!L212</f>
        <v>242.81666666699999</v>
      </c>
      <c r="D213" s="34">
        <f>'Rådata-K'!N212</f>
        <v>0.63695548686865977</v>
      </c>
      <c r="E213" s="34">
        <f>'Rådata-K'!O212</f>
        <v>3.938730853391692E-2</v>
      </c>
      <c r="F213" s="34">
        <f>'Rådata-K'!P212</f>
        <v>0.11157894736842106</v>
      </c>
      <c r="G213" s="34">
        <f>'Rådata-K'!Q212</f>
        <v>0.1831578947368421</v>
      </c>
      <c r="H213" s="34">
        <f>'Rådata-K'!R212</f>
        <v>7.6354679802955738E-2</v>
      </c>
      <c r="I213" s="34">
        <f>'Rådata-K'!S212</f>
        <v>0.97682709447415328</v>
      </c>
      <c r="J213" s="22">
        <f>'Rådata-K'!K212</f>
        <v>396900</v>
      </c>
      <c r="K213" s="22">
        <f>Tabell2[[#This Row],[NIBR11]]</f>
        <v>9</v>
      </c>
      <c r="L213" s="32">
        <f>IF(Tabell2[[#This Row],[ReisetidOslo]]&lt;=C$434,C$434,IF(Tabell2[[#This Row],[ReisetidOslo]]&gt;=C$435,C$435,Tabell2[[#This Row],[ReisetidOslo]]))</f>
        <v>242.81666666699999</v>
      </c>
      <c r="M213" s="32">
        <f>IF(Tabell2[[#This Row],[Beftettotal]]&lt;=D$434,D$434,IF(Tabell2[[#This Row],[Beftettotal]]&gt;=D$435,D$435,Tabell2[[#This Row],[Beftettotal]]))</f>
        <v>1.3297721240876861</v>
      </c>
      <c r="N213" s="34">
        <f>IF(Tabell2[[#This Row],[Befvekst10]]&lt;=E$434,E$434,IF(Tabell2[[#This Row],[Befvekst10]]&gt;=E$435,E$435,Tabell2[[#This Row],[Befvekst10]]))</f>
        <v>3.938730853391692E-2</v>
      </c>
      <c r="O213" s="34">
        <f>IF(Tabell2[[#This Row],[Kvinneandel]]&lt;=F$434,F$434,IF(Tabell2[[#This Row],[Kvinneandel]]&gt;=F$435,F$435,Tabell2[[#This Row],[Kvinneandel]]))</f>
        <v>0.11157894736842106</v>
      </c>
      <c r="P213" s="34">
        <f>IF(Tabell2[[#This Row],[Eldreandel]]&lt;=G$434,G$434,IF(Tabell2[[#This Row],[Eldreandel]]&gt;=G$435,G$435,Tabell2[[#This Row],[Eldreandel]]))</f>
        <v>0.1831578947368421</v>
      </c>
      <c r="Q213" s="34">
        <f>IF(Tabell2[[#This Row],[Sysselsettingsvekst10]]&lt;=H$434,H$434,IF(Tabell2[[#This Row],[Sysselsettingsvekst10]]&gt;=H$435,H$435,Tabell2[[#This Row],[Sysselsettingsvekst10]]))</f>
        <v>7.6354679802955738E-2</v>
      </c>
      <c r="R213" s="34">
        <f>IF(Tabell2[[#This Row],[Yrkesaktivandel]]&lt;=I$434,I$434,IF(Tabell2[[#This Row],[Yrkesaktivandel]]&gt;=I$435,I$435,Tabell2[[#This Row],[Yrkesaktivandel]]))</f>
        <v>0.96203284815106216</v>
      </c>
      <c r="S213" s="22">
        <f>IF(Tabell2[[#This Row],[Inntekt]]&lt;=J$434,J$434,IF(Tabell2[[#This Row],[Inntekt]]&gt;=J$435,J$435,Tabell2[[#This Row],[Inntekt]]))</f>
        <v>396900</v>
      </c>
      <c r="T213" s="22">
        <f>IF(Tabell2[[#This Row],[NIBR11-T]]&lt;=K$437,100,IF(Tabell2[[#This Row],[NIBR11-T]]&gt;=K$436,0,100*(K$436-Tabell2[[#This Row],[NIBR11-T]])/K$439))</f>
        <v>20</v>
      </c>
      <c r="U213" s="7">
        <f>IF(Tabell2[[#This Row],[ReisetidOslo-T]]&lt;=L$437,100,IF(Tabell2[[#This Row],[ReisetidOslo-T]]&gt;=L$436,0,100*(L$436-Tabell2[[#This Row],[ReisetidOslo-T]])/L$439))</f>
        <v>16.514808043737986</v>
      </c>
      <c r="V213" s="7">
        <f>100-(M$436-Tabell2[[#This Row],[Beftettotal-T]])*100/M$439</f>
        <v>0</v>
      </c>
      <c r="W213" s="7">
        <f>100-(N$436-Tabell2[[#This Row],[Befvekst10-T]])*100/N$439</f>
        <v>46.538128042643287</v>
      </c>
      <c r="X213" s="7">
        <f>100-(O$436-Tabell2[[#This Row],[Kvinneandel-T]])*100/O$439</f>
        <v>55.726631695763594</v>
      </c>
      <c r="Y213" s="7">
        <f>(P$436-Tabell2[[#This Row],[Eldreandel-T]])*100/P$439</f>
        <v>34.217082266706875</v>
      </c>
      <c r="Z213" s="7">
        <f>100-(Q$436-Tabell2[[#This Row],[Sysselsettingsvekst10-T]])*100/Q$439</f>
        <v>43.467203032678938</v>
      </c>
      <c r="AA213" s="7">
        <f>100-(R$436-Tabell2[[#This Row],[Yrkesaktivandel-T]])*100/R$439</f>
        <v>100</v>
      </c>
      <c r="AB213" s="7">
        <f>100-(S$436-Tabell2[[#This Row],[Inntekt-T]])*100/S$439</f>
        <v>75.760390062688643</v>
      </c>
      <c r="AC213" s="55">
        <f>Tabell2[[#This Row],[NIBR11-I]]*Vekter!$B$3</f>
        <v>4</v>
      </c>
      <c r="AD213" s="55">
        <f>Tabell2[[#This Row],[ReisetidOslo-I]]*Vekter!$C$3</f>
        <v>1.6514808043737987</v>
      </c>
      <c r="AE213" s="55">
        <f>Tabell2[[#This Row],[Beftettotal-I]]*Vekter!$D$3</f>
        <v>0</v>
      </c>
      <c r="AF213" s="55">
        <f>Tabell2[[#This Row],[Befvekst10-I]]*Vekter!$E$3</f>
        <v>9.3076256085286584</v>
      </c>
      <c r="AG213" s="55">
        <f>Tabell2[[#This Row],[Kvinneandel-I]]*Vekter!$F$3</f>
        <v>2.7863315847881798</v>
      </c>
      <c r="AH213" s="55">
        <f>Tabell2[[#This Row],[Eldreandel-I]]*Vekter!$G$3</f>
        <v>1.7108541133353439</v>
      </c>
      <c r="AI213" s="55">
        <f>Tabell2[[#This Row],[Sysselsettingsvekst10-I]]*Vekter!$H$3</f>
        <v>4.3467203032678938</v>
      </c>
      <c r="AJ213" s="55">
        <f>Tabell2[[#This Row],[Yrkesaktivandel-I]]*Vekter!$J$3</f>
        <v>10</v>
      </c>
      <c r="AK213" s="55">
        <f>Tabell2[[#This Row],[Inntekt-I]]*Vekter!$L$3</f>
        <v>7.5760390062688643</v>
      </c>
      <c r="AL213" s="56">
        <f>SUM(Tabell2[[#This Row],[NIBR11-v]:[Inntekt-v]])</f>
        <v>41.379051420562739</v>
      </c>
    </row>
    <row r="214" spans="1:38" x14ac:dyDescent="0.25">
      <c r="A214" s="2" t="s">
        <v>211</v>
      </c>
      <c r="B214">
        <f>'Rådata-K'!M213</f>
        <v>6</v>
      </c>
      <c r="C214" s="7">
        <f>'Rådata-K'!L213</f>
        <v>267.51666666699998</v>
      </c>
      <c r="D214" s="34">
        <f>'Rådata-K'!N213</f>
        <v>1.5357296449925779</v>
      </c>
      <c r="E214" s="34">
        <f>'Rådata-K'!O213</f>
        <v>-4.8151332760103194E-2</v>
      </c>
      <c r="F214" s="34">
        <f>'Rådata-K'!P213</f>
        <v>0.10298102981029811</v>
      </c>
      <c r="G214" s="34">
        <f>'Rådata-K'!Q213</f>
        <v>0.21680216802168023</v>
      </c>
      <c r="H214" s="34">
        <f>'Rådata-K'!R213</f>
        <v>-0.18538324420677366</v>
      </c>
      <c r="I214" s="34">
        <f>'Rådata-K'!S213</f>
        <v>0.93489148580968284</v>
      </c>
      <c r="J214" s="22">
        <f>'Rådata-K'!K213</f>
        <v>351600</v>
      </c>
      <c r="K214" s="22">
        <f>Tabell2[[#This Row],[NIBR11]]</f>
        <v>6</v>
      </c>
      <c r="L214" s="32">
        <f>IF(Tabell2[[#This Row],[ReisetidOslo]]&lt;=C$434,C$434,IF(Tabell2[[#This Row],[ReisetidOslo]]&gt;=C$435,C$435,Tabell2[[#This Row],[ReisetidOslo]]))</f>
        <v>267.51666666699998</v>
      </c>
      <c r="M214" s="32">
        <f>IF(Tabell2[[#This Row],[Beftettotal]]&lt;=D$434,D$434,IF(Tabell2[[#This Row],[Beftettotal]]&gt;=D$435,D$435,Tabell2[[#This Row],[Beftettotal]]))</f>
        <v>1.5357296449925779</v>
      </c>
      <c r="N214" s="34">
        <f>IF(Tabell2[[#This Row],[Befvekst10]]&lt;=E$434,E$434,IF(Tabell2[[#This Row],[Befvekst10]]&gt;=E$435,E$435,Tabell2[[#This Row],[Befvekst10]]))</f>
        <v>-4.8151332760103194E-2</v>
      </c>
      <c r="O214" s="34">
        <f>IF(Tabell2[[#This Row],[Kvinneandel]]&lt;=F$434,F$434,IF(Tabell2[[#This Row],[Kvinneandel]]&gt;=F$435,F$435,Tabell2[[#This Row],[Kvinneandel]]))</f>
        <v>0.10298102981029811</v>
      </c>
      <c r="P214" s="34">
        <f>IF(Tabell2[[#This Row],[Eldreandel]]&lt;=G$434,G$434,IF(Tabell2[[#This Row],[Eldreandel]]&gt;=G$435,G$435,Tabell2[[#This Row],[Eldreandel]]))</f>
        <v>0.21438492803547596</v>
      </c>
      <c r="Q214" s="34">
        <f>IF(Tabell2[[#This Row],[Sysselsettingsvekst10]]&lt;=H$434,H$434,IF(Tabell2[[#This Row],[Sysselsettingsvekst10]]&gt;=H$435,H$435,Tabell2[[#This Row],[Sysselsettingsvekst10]]))</f>
        <v>-6.9733479337269061E-2</v>
      </c>
      <c r="R214" s="34">
        <f>IF(Tabell2[[#This Row],[Yrkesaktivandel]]&lt;=I$434,I$434,IF(Tabell2[[#This Row],[Yrkesaktivandel]]&gt;=I$435,I$435,Tabell2[[#This Row],[Yrkesaktivandel]]))</f>
        <v>0.93489148580968284</v>
      </c>
      <c r="S214" s="22">
        <f>IF(Tabell2[[#This Row],[Inntekt]]&lt;=J$434,J$434,IF(Tabell2[[#This Row],[Inntekt]]&gt;=J$435,J$435,Tabell2[[#This Row],[Inntekt]]))</f>
        <v>351600</v>
      </c>
      <c r="T214" s="22">
        <f>IF(Tabell2[[#This Row],[NIBR11-T]]&lt;=K$437,100,IF(Tabell2[[#This Row],[NIBR11-T]]&gt;=K$436,0,100*(K$436-Tabell2[[#This Row],[NIBR11-T]])/K$439))</f>
        <v>50</v>
      </c>
      <c r="U214" s="7">
        <f>IF(Tabell2[[#This Row],[ReisetidOslo-T]]&lt;=L$437,100,IF(Tabell2[[#This Row],[ReisetidOslo-T]]&gt;=L$436,0,100*(L$436-Tabell2[[#This Row],[ReisetidOslo-T]])/L$439))</f>
        <v>5.6775137110151537</v>
      </c>
      <c r="V214" s="7">
        <f>100-(M$436-Tabell2[[#This Row],[Beftettotal-T]])*100/M$439</f>
        <v>0.15932272002069681</v>
      </c>
      <c r="W214" s="7">
        <f>100-(N$436-Tabell2[[#This Row],[Befvekst10-T]])*100/N$439</f>
        <v>11.291871151773762</v>
      </c>
      <c r="X214" s="7">
        <f>100-(O$436-Tabell2[[#This Row],[Kvinneandel-T]])*100/O$439</f>
        <v>33.006793873811617</v>
      </c>
      <c r="Y214" s="7">
        <f>(P$436-Tabell2[[#This Row],[Eldreandel-T]])*100/P$439</f>
        <v>0</v>
      </c>
      <c r="Z214" s="7">
        <f>100-(Q$436-Tabell2[[#This Row],[Sysselsettingsvekst10-T]])*100/Q$439</f>
        <v>0</v>
      </c>
      <c r="AA214" s="7">
        <f>100-(R$436-Tabell2[[#This Row],[Yrkesaktivandel-T]])*100/R$439</f>
        <v>79.131230446657625</v>
      </c>
      <c r="AB214" s="7">
        <f>100-(S$436-Tabell2[[#This Row],[Inntekt-T]])*100/S$439</f>
        <v>23.171581146970055</v>
      </c>
      <c r="AC214" s="55">
        <f>Tabell2[[#This Row],[NIBR11-I]]*Vekter!$B$3</f>
        <v>10</v>
      </c>
      <c r="AD214" s="55">
        <f>Tabell2[[#This Row],[ReisetidOslo-I]]*Vekter!$C$3</f>
        <v>0.56775137110151541</v>
      </c>
      <c r="AE214" s="55">
        <f>Tabell2[[#This Row],[Beftettotal-I]]*Vekter!$D$3</f>
        <v>1.5932272002069682E-2</v>
      </c>
      <c r="AF214" s="55">
        <f>Tabell2[[#This Row],[Befvekst10-I]]*Vekter!$E$3</f>
        <v>2.2583742303547525</v>
      </c>
      <c r="AG214" s="55">
        <f>Tabell2[[#This Row],[Kvinneandel-I]]*Vekter!$F$3</f>
        <v>1.650339693690581</v>
      </c>
      <c r="AH214" s="55">
        <f>Tabell2[[#This Row],[Eldreandel-I]]*Vekter!$G$3</f>
        <v>0</v>
      </c>
      <c r="AI214" s="55">
        <f>Tabell2[[#This Row],[Sysselsettingsvekst10-I]]*Vekter!$H$3</f>
        <v>0</v>
      </c>
      <c r="AJ214" s="55">
        <f>Tabell2[[#This Row],[Yrkesaktivandel-I]]*Vekter!$J$3</f>
        <v>7.9131230446657632</v>
      </c>
      <c r="AK214" s="55">
        <f>Tabell2[[#This Row],[Inntekt-I]]*Vekter!$L$3</f>
        <v>2.3171581146970057</v>
      </c>
      <c r="AL214" s="56">
        <f>SUM(Tabell2[[#This Row],[NIBR11-v]:[Inntekt-v]])</f>
        <v>24.722678726511685</v>
      </c>
    </row>
    <row r="215" spans="1:38" x14ac:dyDescent="0.25">
      <c r="A215" s="2" t="s">
        <v>212</v>
      </c>
      <c r="B215">
        <f>'Rådata-K'!M214</f>
        <v>6</v>
      </c>
      <c r="C215" s="7">
        <f>'Rådata-K'!L214</f>
        <v>255.3</v>
      </c>
      <c r="D215" s="34">
        <f>'Rådata-K'!N214</f>
        <v>4.3349336345665064</v>
      </c>
      <c r="E215" s="34">
        <f>'Rådata-K'!O214</f>
        <v>-8.6309523809523836E-2</v>
      </c>
      <c r="F215" s="34">
        <f>'Rådata-K'!P214</f>
        <v>0.11617806731813246</v>
      </c>
      <c r="G215" s="34">
        <f>'Rådata-K'!Q214</f>
        <v>0.19435396308360478</v>
      </c>
      <c r="H215" s="34">
        <f>'Rådata-K'!R214</f>
        <v>-0.28132387706855788</v>
      </c>
      <c r="I215" s="34">
        <f>'Rådata-K'!S214</f>
        <v>0.92992424242424243</v>
      </c>
      <c r="J215" s="22">
        <f>'Rådata-K'!K214</f>
        <v>356700</v>
      </c>
      <c r="K215" s="22">
        <f>Tabell2[[#This Row],[NIBR11]]</f>
        <v>6</v>
      </c>
      <c r="L215" s="32">
        <f>IF(Tabell2[[#This Row],[ReisetidOslo]]&lt;=C$434,C$434,IF(Tabell2[[#This Row],[ReisetidOslo]]&gt;=C$435,C$435,Tabell2[[#This Row],[ReisetidOslo]]))</f>
        <v>255.3</v>
      </c>
      <c r="M215" s="32">
        <f>IF(Tabell2[[#This Row],[Beftettotal]]&lt;=D$434,D$434,IF(Tabell2[[#This Row],[Beftettotal]]&gt;=D$435,D$435,Tabell2[[#This Row],[Beftettotal]]))</f>
        <v>4.3349336345665064</v>
      </c>
      <c r="N215" s="34">
        <f>IF(Tabell2[[#This Row],[Befvekst10]]&lt;=E$434,E$434,IF(Tabell2[[#This Row],[Befvekst10]]&gt;=E$435,E$435,Tabell2[[#This Row],[Befvekst10]]))</f>
        <v>-7.6196156394963507E-2</v>
      </c>
      <c r="O215" s="34">
        <f>IF(Tabell2[[#This Row],[Kvinneandel]]&lt;=F$434,F$434,IF(Tabell2[[#This Row],[Kvinneandel]]&gt;=F$435,F$435,Tabell2[[#This Row],[Kvinneandel]]))</f>
        <v>0.11617806731813246</v>
      </c>
      <c r="P215" s="34">
        <f>IF(Tabell2[[#This Row],[Eldreandel]]&lt;=G$434,G$434,IF(Tabell2[[#This Row],[Eldreandel]]&gt;=G$435,G$435,Tabell2[[#This Row],[Eldreandel]]))</f>
        <v>0.19435396308360478</v>
      </c>
      <c r="Q215" s="34">
        <f>IF(Tabell2[[#This Row],[Sysselsettingsvekst10]]&lt;=H$434,H$434,IF(Tabell2[[#This Row],[Sysselsettingsvekst10]]&gt;=H$435,H$435,Tabell2[[#This Row],[Sysselsettingsvekst10]]))</f>
        <v>-6.9733479337269061E-2</v>
      </c>
      <c r="R215" s="34">
        <f>IF(Tabell2[[#This Row],[Yrkesaktivandel]]&lt;=I$434,I$434,IF(Tabell2[[#This Row],[Yrkesaktivandel]]&gt;=I$435,I$435,Tabell2[[#This Row],[Yrkesaktivandel]]))</f>
        <v>0.92992424242424243</v>
      </c>
      <c r="S215" s="22">
        <f>IF(Tabell2[[#This Row],[Inntekt]]&lt;=J$434,J$434,IF(Tabell2[[#This Row],[Inntekt]]&gt;=J$435,J$435,Tabell2[[#This Row],[Inntekt]]))</f>
        <v>356700</v>
      </c>
      <c r="T215" s="22">
        <f>IF(Tabell2[[#This Row],[NIBR11-T]]&lt;=K$437,100,IF(Tabell2[[#This Row],[NIBR11-T]]&gt;=K$436,0,100*(K$436-Tabell2[[#This Row],[NIBR11-T]])/K$439))</f>
        <v>50</v>
      </c>
      <c r="U215" s="7">
        <f>IF(Tabell2[[#This Row],[ReisetidOslo-T]]&lt;=L$437,100,IF(Tabell2[[#This Row],[ReisetidOslo-T]]&gt;=L$436,0,100*(L$436-Tabell2[[#This Row],[ReisetidOslo-T]])/L$439))</f>
        <v>11.037659963446036</v>
      </c>
      <c r="V215" s="7">
        <f>100-(M$436-Tabell2[[#This Row],[Beftettotal-T]])*100/M$439</f>
        <v>2.3247051326283525</v>
      </c>
      <c r="W215" s="7">
        <f>100-(N$436-Tabell2[[#This Row],[Befvekst10-T]])*100/N$439</f>
        <v>0</v>
      </c>
      <c r="X215" s="7">
        <f>100-(O$436-Tabell2[[#This Row],[Kvinneandel-T]])*100/O$439</f>
        <v>67.879720937986917</v>
      </c>
      <c r="Y215" s="7">
        <f>(P$436-Tabell2[[#This Row],[Eldreandel-T]])*100/P$439</f>
        <v>21.948968673552596</v>
      </c>
      <c r="Z215" s="7">
        <f>100-(Q$436-Tabell2[[#This Row],[Sysselsettingsvekst10-T]])*100/Q$439</f>
        <v>0</v>
      </c>
      <c r="AA215" s="7">
        <f>100-(R$436-Tabell2[[#This Row],[Yrkesaktivandel-T]])*100/R$439</f>
        <v>75.311957993701895</v>
      </c>
      <c r="AB215" s="7">
        <f>100-(S$436-Tabell2[[#This Row],[Inntekt-T]])*100/S$439</f>
        <v>29.092175528209893</v>
      </c>
      <c r="AC215" s="55">
        <f>Tabell2[[#This Row],[NIBR11-I]]*Vekter!$B$3</f>
        <v>10</v>
      </c>
      <c r="AD215" s="55">
        <f>Tabell2[[#This Row],[ReisetidOslo-I]]*Vekter!$C$3</f>
        <v>1.1037659963446036</v>
      </c>
      <c r="AE215" s="55">
        <f>Tabell2[[#This Row],[Beftettotal-I]]*Vekter!$D$3</f>
        <v>0.23247051326283527</v>
      </c>
      <c r="AF215" s="55">
        <f>Tabell2[[#This Row],[Befvekst10-I]]*Vekter!$E$3</f>
        <v>0</v>
      </c>
      <c r="AG215" s="55">
        <f>Tabell2[[#This Row],[Kvinneandel-I]]*Vekter!$F$3</f>
        <v>3.3939860468993461</v>
      </c>
      <c r="AH215" s="55">
        <f>Tabell2[[#This Row],[Eldreandel-I]]*Vekter!$G$3</f>
        <v>1.0974484336776298</v>
      </c>
      <c r="AI215" s="55">
        <f>Tabell2[[#This Row],[Sysselsettingsvekst10-I]]*Vekter!$H$3</f>
        <v>0</v>
      </c>
      <c r="AJ215" s="55">
        <f>Tabell2[[#This Row],[Yrkesaktivandel-I]]*Vekter!$J$3</f>
        <v>7.5311957993701899</v>
      </c>
      <c r="AK215" s="55">
        <f>Tabell2[[#This Row],[Inntekt-I]]*Vekter!$L$3</f>
        <v>2.9092175528209894</v>
      </c>
      <c r="AL215" s="56">
        <f>SUM(Tabell2[[#This Row],[NIBR11-v]:[Inntekt-v]])</f>
        <v>26.268084342375595</v>
      </c>
    </row>
    <row r="216" spans="1:38" x14ac:dyDescent="0.25">
      <c r="A216" s="2" t="s">
        <v>213</v>
      </c>
      <c r="B216">
        <f>'Rådata-K'!M215</f>
        <v>6</v>
      </c>
      <c r="C216" s="7">
        <f>'Rådata-K'!L215</f>
        <v>236.15</v>
      </c>
      <c r="D216" s="34">
        <f>'Rådata-K'!N215</f>
        <v>7.944911147905926</v>
      </c>
      <c r="E216" s="34">
        <f>'Rådata-K'!O215</f>
        <v>3.588447653429605E-2</v>
      </c>
      <c r="F216" s="34">
        <f>'Rådata-K'!P215</f>
        <v>0.11131246950582004</v>
      </c>
      <c r="G216" s="34">
        <f>'Rådata-K'!Q215</f>
        <v>0.17920122673729699</v>
      </c>
      <c r="H216" s="34">
        <f>'Rådata-K'!R215</f>
        <v>0.13451495489792697</v>
      </c>
      <c r="I216" s="34">
        <f>'Rådata-K'!S215</f>
        <v>0.94267355423963717</v>
      </c>
      <c r="J216" s="22">
        <f>'Rådata-K'!K215</f>
        <v>374200</v>
      </c>
      <c r="K216" s="22">
        <f>Tabell2[[#This Row],[NIBR11]]</f>
        <v>6</v>
      </c>
      <c r="L216" s="32">
        <f>IF(Tabell2[[#This Row],[ReisetidOslo]]&lt;=C$434,C$434,IF(Tabell2[[#This Row],[ReisetidOslo]]&gt;=C$435,C$435,Tabell2[[#This Row],[ReisetidOslo]]))</f>
        <v>236.15</v>
      </c>
      <c r="M216" s="32">
        <f>IF(Tabell2[[#This Row],[Beftettotal]]&lt;=D$434,D$434,IF(Tabell2[[#This Row],[Beftettotal]]&gt;=D$435,D$435,Tabell2[[#This Row],[Beftettotal]]))</f>
        <v>7.944911147905926</v>
      </c>
      <c r="N216" s="34">
        <f>IF(Tabell2[[#This Row],[Befvekst10]]&lt;=E$434,E$434,IF(Tabell2[[#This Row],[Befvekst10]]&gt;=E$435,E$435,Tabell2[[#This Row],[Befvekst10]]))</f>
        <v>3.588447653429605E-2</v>
      </c>
      <c r="O216" s="34">
        <f>IF(Tabell2[[#This Row],[Kvinneandel]]&lt;=F$434,F$434,IF(Tabell2[[#This Row],[Kvinneandel]]&gt;=F$435,F$435,Tabell2[[#This Row],[Kvinneandel]]))</f>
        <v>0.11131246950582004</v>
      </c>
      <c r="P216" s="34">
        <f>IF(Tabell2[[#This Row],[Eldreandel]]&lt;=G$434,G$434,IF(Tabell2[[#This Row],[Eldreandel]]&gt;=G$435,G$435,Tabell2[[#This Row],[Eldreandel]]))</f>
        <v>0.17920122673729699</v>
      </c>
      <c r="Q216" s="34">
        <f>IF(Tabell2[[#This Row],[Sysselsettingsvekst10]]&lt;=H$434,H$434,IF(Tabell2[[#This Row],[Sysselsettingsvekst10]]&gt;=H$435,H$435,Tabell2[[#This Row],[Sysselsettingsvekst10]]))</f>
        <v>0.13451495489792697</v>
      </c>
      <c r="R216" s="34">
        <f>IF(Tabell2[[#This Row],[Yrkesaktivandel]]&lt;=I$434,I$434,IF(Tabell2[[#This Row],[Yrkesaktivandel]]&gt;=I$435,I$435,Tabell2[[#This Row],[Yrkesaktivandel]]))</f>
        <v>0.94267355423963717</v>
      </c>
      <c r="S216" s="22">
        <f>IF(Tabell2[[#This Row],[Inntekt]]&lt;=J$434,J$434,IF(Tabell2[[#This Row],[Inntekt]]&gt;=J$435,J$435,Tabell2[[#This Row],[Inntekt]]))</f>
        <v>374200</v>
      </c>
      <c r="T216" s="22">
        <f>IF(Tabell2[[#This Row],[NIBR11-T]]&lt;=K$437,100,IF(Tabell2[[#This Row],[NIBR11-T]]&gt;=K$436,0,100*(K$436-Tabell2[[#This Row],[NIBR11-T]])/K$439))</f>
        <v>50</v>
      </c>
      <c r="U216" s="7">
        <f>IF(Tabell2[[#This Row],[ReisetidOslo-T]]&lt;=L$437,100,IF(Tabell2[[#This Row],[ReisetidOslo-T]]&gt;=L$436,0,100*(L$436-Tabell2[[#This Row],[ReisetidOslo-T]])/L$439))</f>
        <v>19.439853747723056</v>
      </c>
      <c r="V216" s="7">
        <f>100-(M$436-Tabell2[[#This Row],[Beftettotal-T]])*100/M$439</f>
        <v>5.1172782521329907</v>
      </c>
      <c r="W216" s="7">
        <f>100-(N$436-Tabell2[[#This Row],[Befvekst10-T]])*100/N$439</f>
        <v>45.127759836338612</v>
      </c>
      <c r="X216" s="7">
        <f>100-(O$436-Tabell2[[#This Row],[Kvinneandel-T]])*100/O$439</f>
        <v>55.022468881860398</v>
      </c>
      <c r="Y216" s="7">
        <f>(P$436-Tabell2[[#This Row],[Eldreandel-T]])*100/P$439</f>
        <v>38.552608896718333</v>
      </c>
      <c r="Z216" s="7">
        <f>100-(Q$436-Tabell2[[#This Row],[Sysselsettingsvekst10-T]])*100/Q$439</f>
        <v>60.77226390050037</v>
      </c>
      <c r="AA216" s="7">
        <f>100-(R$436-Tabell2[[#This Row],[Yrkesaktivandel-T]])*100/R$439</f>
        <v>85.114798650434253</v>
      </c>
      <c r="AB216" s="7">
        <f>100-(S$436-Tabell2[[#This Row],[Inntekt-T]])*100/S$439</f>
        <v>49.407940561876018</v>
      </c>
      <c r="AC216" s="55">
        <f>Tabell2[[#This Row],[NIBR11-I]]*Vekter!$B$3</f>
        <v>10</v>
      </c>
      <c r="AD216" s="55">
        <f>Tabell2[[#This Row],[ReisetidOslo-I]]*Vekter!$C$3</f>
        <v>1.9439853747723057</v>
      </c>
      <c r="AE216" s="55">
        <f>Tabell2[[#This Row],[Beftettotal-I]]*Vekter!$D$3</f>
        <v>0.51172782521329907</v>
      </c>
      <c r="AF216" s="55">
        <f>Tabell2[[#This Row],[Befvekst10-I]]*Vekter!$E$3</f>
        <v>9.025551967267722</v>
      </c>
      <c r="AG216" s="55">
        <f>Tabell2[[#This Row],[Kvinneandel-I]]*Vekter!$F$3</f>
        <v>2.7511234440930199</v>
      </c>
      <c r="AH216" s="55">
        <f>Tabell2[[#This Row],[Eldreandel-I]]*Vekter!$G$3</f>
        <v>1.9276304448359167</v>
      </c>
      <c r="AI216" s="55">
        <f>Tabell2[[#This Row],[Sysselsettingsvekst10-I]]*Vekter!$H$3</f>
        <v>6.0772263900500372</v>
      </c>
      <c r="AJ216" s="55">
        <f>Tabell2[[#This Row],[Yrkesaktivandel-I]]*Vekter!$J$3</f>
        <v>8.5114798650434249</v>
      </c>
      <c r="AK216" s="55">
        <f>Tabell2[[#This Row],[Inntekt-I]]*Vekter!$L$3</f>
        <v>4.9407940561876025</v>
      </c>
      <c r="AL216" s="56">
        <f>SUM(Tabell2[[#This Row],[NIBR11-v]:[Inntekt-v]])</f>
        <v>45.689519367463333</v>
      </c>
    </row>
    <row r="217" spans="1:38" x14ac:dyDescent="0.25">
      <c r="A217" s="2" t="s">
        <v>214</v>
      </c>
      <c r="B217">
        <f>'Rådata-K'!M216</f>
        <v>5</v>
      </c>
      <c r="C217" s="7">
        <f>'Rådata-K'!L216</f>
        <v>215.61666666669998</v>
      </c>
      <c r="D217" s="34">
        <f>'Rådata-K'!N216</f>
        <v>13.851444514737132</v>
      </c>
      <c r="E217" s="34">
        <f>'Rådata-K'!O216</f>
        <v>2.4598032157427507E-2</v>
      </c>
      <c r="F217" s="34">
        <f>'Rådata-K'!P216</f>
        <v>0.10551586836866143</v>
      </c>
      <c r="G217" s="34">
        <f>'Rådata-K'!Q216</f>
        <v>0.18374516922356249</v>
      </c>
      <c r="H217" s="34">
        <f>'Rådata-K'!R216</f>
        <v>7.7041602465333092E-4</v>
      </c>
      <c r="I217" s="34">
        <f>'Rådata-K'!S216</f>
        <v>0.92560221701129819</v>
      </c>
      <c r="J217" s="22">
        <f>'Rådata-K'!K216</f>
        <v>375300</v>
      </c>
      <c r="K217" s="22">
        <f>Tabell2[[#This Row],[NIBR11]]</f>
        <v>5</v>
      </c>
      <c r="L217" s="32">
        <f>IF(Tabell2[[#This Row],[ReisetidOslo]]&lt;=C$434,C$434,IF(Tabell2[[#This Row],[ReisetidOslo]]&gt;=C$435,C$435,Tabell2[[#This Row],[ReisetidOslo]]))</f>
        <v>215.61666666669998</v>
      </c>
      <c r="M217" s="32">
        <f>IF(Tabell2[[#This Row],[Beftettotal]]&lt;=D$434,D$434,IF(Tabell2[[#This Row],[Beftettotal]]&gt;=D$435,D$435,Tabell2[[#This Row],[Beftettotal]]))</f>
        <v>13.851444514737132</v>
      </c>
      <c r="N217" s="34">
        <f>IF(Tabell2[[#This Row],[Befvekst10]]&lt;=E$434,E$434,IF(Tabell2[[#This Row],[Befvekst10]]&gt;=E$435,E$435,Tabell2[[#This Row],[Befvekst10]]))</f>
        <v>2.4598032157427507E-2</v>
      </c>
      <c r="O217" s="34">
        <f>IF(Tabell2[[#This Row],[Kvinneandel]]&lt;=F$434,F$434,IF(Tabell2[[#This Row],[Kvinneandel]]&gt;=F$435,F$435,Tabell2[[#This Row],[Kvinneandel]]))</f>
        <v>0.10551586836866143</v>
      </c>
      <c r="P217" s="34">
        <f>IF(Tabell2[[#This Row],[Eldreandel]]&lt;=G$434,G$434,IF(Tabell2[[#This Row],[Eldreandel]]&gt;=G$435,G$435,Tabell2[[#This Row],[Eldreandel]]))</f>
        <v>0.18374516922356249</v>
      </c>
      <c r="Q217" s="34">
        <f>IF(Tabell2[[#This Row],[Sysselsettingsvekst10]]&lt;=H$434,H$434,IF(Tabell2[[#This Row],[Sysselsettingsvekst10]]&gt;=H$435,H$435,Tabell2[[#This Row],[Sysselsettingsvekst10]]))</f>
        <v>7.7041602465333092E-4</v>
      </c>
      <c r="R217" s="34">
        <f>IF(Tabell2[[#This Row],[Yrkesaktivandel]]&lt;=I$434,I$434,IF(Tabell2[[#This Row],[Yrkesaktivandel]]&gt;=I$435,I$435,Tabell2[[#This Row],[Yrkesaktivandel]]))</f>
        <v>0.92560221701129819</v>
      </c>
      <c r="S217" s="22">
        <f>IF(Tabell2[[#This Row],[Inntekt]]&lt;=J$434,J$434,IF(Tabell2[[#This Row],[Inntekt]]&gt;=J$435,J$435,Tabell2[[#This Row],[Inntekt]]))</f>
        <v>375300</v>
      </c>
      <c r="T217" s="22">
        <f>IF(Tabell2[[#This Row],[NIBR11-T]]&lt;=K$437,100,IF(Tabell2[[#This Row],[NIBR11-T]]&gt;=K$436,0,100*(K$436-Tabell2[[#This Row],[NIBR11-T]])/K$439))</f>
        <v>60</v>
      </c>
      <c r="U217" s="7">
        <f>IF(Tabell2[[#This Row],[ReisetidOslo-T]]&lt;=L$437,100,IF(Tabell2[[#This Row],[ReisetidOslo-T]]&gt;=L$436,0,100*(L$436-Tabell2[[#This Row],[ReisetidOslo-T]])/L$439))</f>
        <v>28.448994515532018</v>
      </c>
      <c r="V217" s="7">
        <f>100-(M$436-Tabell2[[#This Row],[Beftettotal-T]])*100/M$439</f>
        <v>9.6863998737277512</v>
      </c>
      <c r="W217" s="7">
        <f>100-(N$436-Tabell2[[#This Row],[Befvekst10-T]])*100/N$439</f>
        <v>40.583424763150845</v>
      </c>
      <c r="X217" s="7">
        <f>100-(O$436-Tabell2[[#This Row],[Kvinneandel-T]])*100/O$439</f>
        <v>39.70505779196651</v>
      </c>
      <c r="Y217" s="7">
        <f>(P$436-Tabell2[[#This Row],[Eldreandel-T]])*100/P$439</f>
        <v>33.573575109524306</v>
      </c>
      <c r="Z217" s="7">
        <f>100-(Q$436-Tabell2[[#This Row],[Sysselsettingsvekst10-T]])*100/Q$439</f>
        <v>20.977792808997108</v>
      </c>
      <c r="AA217" s="7">
        <f>100-(R$436-Tabell2[[#This Row],[Yrkesaktivandel-T]])*100/R$439</f>
        <v>71.988788315925163</v>
      </c>
      <c r="AB217" s="7">
        <f>100-(S$436-Tabell2[[#This Row],[Inntekt-T]])*100/S$439</f>
        <v>50.684931506849317</v>
      </c>
      <c r="AC217" s="55">
        <f>Tabell2[[#This Row],[NIBR11-I]]*Vekter!$B$3</f>
        <v>12</v>
      </c>
      <c r="AD217" s="55">
        <f>Tabell2[[#This Row],[ReisetidOslo-I]]*Vekter!$C$3</f>
        <v>2.8448994515532018</v>
      </c>
      <c r="AE217" s="55">
        <f>Tabell2[[#This Row],[Beftettotal-I]]*Vekter!$D$3</f>
        <v>0.96863998737277512</v>
      </c>
      <c r="AF217" s="55">
        <f>Tabell2[[#This Row],[Befvekst10-I]]*Vekter!$E$3</f>
        <v>8.1166849526301696</v>
      </c>
      <c r="AG217" s="55">
        <f>Tabell2[[#This Row],[Kvinneandel-I]]*Vekter!$F$3</f>
        <v>1.9852528895983257</v>
      </c>
      <c r="AH217" s="55">
        <f>Tabell2[[#This Row],[Eldreandel-I]]*Vekter!$G$3</f>
        <v>1.6786787554762155</v>
      </c>
      <c r="AI217" s="55">
        <f>Tabell2[[#This Row],[Sysselsettingsvekst10-I]]*Vekter!$H$3</f>
        <v>2.0977792808997111</v>
      </c>
      <c r="AJ217" s="55">
        <f>Tabell2[[#This Row],[Yrkesaktivandel-I]]*Vekter!$J$3</f>
        <v>7.1988788315925163</v>
      </c>
      <c r="AK217" s="55">
        <f>Tabell2[[#This Row],[Inntekt-I]]*Vekter!$L$3</f>
        <v>5.0684931506849322</v>
      </c>
      <c r="AL217" s="56">
        <f>SUM(Tabell2[[#This Row],[NIBR11-v]:[Inntekt-v]])</f>
        <v>41.959307299807847</v>
      </c>
    </row>
    <row r="218" spans="1:38" x14ac:dyDescent="0.25">
      <c r="A218" s="2" t="s">
        <v>215</v>
      </c>
      <c r="B218">
        <f>'Rådata-K'!M217</f>
        <v>1</v>
      </c>
      <c r="C218" s="7">
        <f>'Rådata-K'!L217</f>
        <v>208.1666666667</v>
      </c>
      <c r="D218" s="34">
        <f>'Rådata-K'!N217</f>
        <v>10.158007569541859</v>
      </c>
      <c r="E218" s="34">
        <f>'Rådata-K'!O217</f>
        <v>3.4780264222162405E-2</v>
      </c>
      <c r="F218" s="34">
        <f>'Rådata-K'!P217</f>
        <v>9.536216779572694E-2</v>
      </c>
      <c r="G218" s="34">
        <f>'Rådata-K'!Q217</f>
        <v>0.17196456487754039</v>
      </c>
      <c r="H218" s="34">
        <f>'Rådata-K'!R217</f>
        <v>0.12233121754183496</v>
      </c>
      <c r="I218" s="34">
        <f>'Rådata-K'!S217</f>
        <v>0.96503156872268092</v>
      </c>
      <c r="J218" s="22">
        <f>'Rådata-K'!K217</f>
        <v>399800</v>
      </c>
      <c r="K218" s="22">
        <f>Tabell2[[#This Row],[NIBR11]]</f>
        <v>1</v>
      </c>
      <c r="L218" s="32">
        <f>IF(Tabell2[[#This Row],[ReisetidOslo]]&lt;=C$434,C$434,IF(Tabell2[[#This Row],[ReisetidOslo]]&gt;=C$435,C$435,Tabell2[[#This Row],[ReisetidOslo]]))</f>
        <v>208.1666666667</v>
      </c>
      <c r="M218" s="32">
        <f>IF(Tabell2[[#This Row],[Beftettotal]]&lt;=D$434,D$434,IF(Tabell2[[#This Row],[Beftettotal]]&gt;=D$435,D$435,Tabell2[[#This Row],[Beftettotal]]))</f>
        <v>10.158007569541859</v>
      </c>
      <c r="N218" s="34">
        <f>IF(Tabell2[[#This Row],[Befvekst10]]&lt;=E$434,E$434,IF(Tabell2[[#This Row],[Befvekst10]]&gt;=E$435,E$435,Tabell2[[#This Row],[Befvekst10]]))</f>
        <v>3.4780264222162405E-2</v>
      </c>
      <c r="O218" s="34">
        <f>IF(Tabell2[[#This Row],[Kvinneandel]]&lt;=F$434,F$434,IF(Tabell2[[#This Row],[Kvinneandel]]&gt;=F$435,F$435,Tabell2[[#This Row],[Kvinneandel]]))</f>
        <v>9.536216779572694E-2</v>
      </c>
      <c r="P218" s="34">
        <f>IF(Tabell2[[#This Row],[Eldreandel]]&lt;=G$434,G$434,IF(Tabell2[[#This Row],[Eldreandel]]&gt;=G$435,G$435,Tabell2[[#This Row],[Eldreandel]]))</f>
        <v>0.17196456487754039</v>
      </c>
      <c r="Q218" s="34">
        <f>IF(Tabell2[[#This Row],[Sysselsettingsvekst10]]&lt;=H$434,H$434,IF(Tabell2[[#This Row],[Sysselsettingsvekst10]]&gt;=H$435,H$435,Tabell2[[#This Row],[Sysselsettingsvekst10]]))</f>
        <v>0.12233121754183496</v>
      </c>
      <c r="R218" s="34">
        <f>IF(Tabell2[[#This Row],[Yrkesaktivandel]]&lt;=I$434,I$434,IF(Tabell2[[#This Row],[Yrkesaktivandel]]&gt;=I$435,I$435,Tabell2[[#This Row],[Yrkesaktivandel]]))</f>
        <v>0.96203284815106216</v>
      </c>
      <c r="S218" s="22">
        <f>IF(Tabell2[[#This Row],[Inntekt]]&lt;=J$434,J$434,IF(Tabell2[[#This Row],[Inntekt]]&gt;=J$435,J$435,Tabell2[[#This Row],[Inntekt]]))</f>
        <v>399800</v>
      </c>
      <c r="T218" s="22">
        <f>IF(Tabell2[[#This Row],[NIBR11-T]]&lt;=K$437,100,IF(Tabell2[[#This Row],[NIBR11-T]]&gt;=K$436,0,100*(K$436-Tabell2[[#This Row],[NIBR11-T]])/K$439))</f>
        <v>100</v>
      </c>
      <c r="U218" s="7">
        <f>IF(Tabell2[[#This Row],[ReisetidOslo-T]]&lt;=L$437,100,IF(Tabell2[[#This Row],[ReisetidOslo-T]]&gt;=L$436,0,100*(L$436-Tabell2[[#This Row],[ReisetidOslo-T]])/L$439))</f>
        <v>31.717733089571894</v>
      </c>
      <c r="V218" s="7">
        <f>100-(M$436-Tabell2[[#This Row],[Beftettotal-T]])*100/M$439</f>
        <v>6.8292649764534445</v>
      </c>
      <c r="W218" s="7">
        <f>100-(N$436-Tabell2[[#This Row],[Befvekst10-T]])*100/N$439</f>
        <v>44.683163595864613</v>
      </c>
      <c r="X218" s="7">
        <f>100-(O$436-Tabell2[[#This Row],[Kvinneandel-T]])*100/O$439</f>
        <v>12.87409218311555</v>
      </c>
      <c r="Y218" s="7">
        <f>(P$436-Tabell2[[#This Row],[Eldreandel-T]])*100/P$439</f>
        <v>46.482195156917591</v>
      </c>
      <c r="Z218" s="7">
        <f>100-(Q$436-Tabell2[[#This Row],[Sysselsettingsvekst10-T]])*100/Q$439</f>
        <v>57.147103665263586</v>
      </c>
      <c r="AA218" s="7">
        <f>100-(R$436-Tabell2[[#This Row],[Yrkesaktivandel-T]])*100/R$439</f>
        <v>100</v>
      </c>
      <c r="AB218" s="7">
        <f>100-(S$436-Tabell2[[#This Row],[Inntekt-T]])*100/S$439</f>
        <v>79.127002553981896</v>
      </c>
      <c r="AC218" s="55">
        <f>Tabell2[[#This Row],[NIBR11-I]]*Vekter!$B$3</f>
        <v>20</v>
      </c>
      <c r="AD218" s="55">
        <f>Tabell2[[#This Row],[ReisetidOslo-I]]*Vekter!$C$3</f>
        <v>3.1717733089571896</v>
      </c>
      <c r="AE218" s="55">
        <f>Tabell2[[#This Row],[Beftettotal-I]]*Vekter!$D$3</f>
        <v>0.68292649764534452</v>
      </c>
      <c r="AF218" s="55">
        <f>Tabell2[[#This Row],[Befvekst10-I]]*Vekter!$E$3</f>
        <v>8.9366327191729233</v>
      </c>
      <c r="AG218" s="55">
        <f>Tabell2[[#This Row],[Kvinneandel-I]]*Vekter!$F$3</f>
        <v>0.64370460915577754</v>
      </c>
      <c r="AH218" s="55">
        <f>Tabell2[[#This Row],[Eldreandel-I]]*Vekter!$G$3</f>
        <v>2.3241097578458798</v>
      </c>
      <c r="AI218" s="55">
        <f>Tabell2[[#This Row],[Sysselsettingsvekst10-I]]*Vekter!$H$3</f>
        <v>5.7147103665263588</v>
      </c>
      <c r="AJ218" s="55">
        <f>Tabell2[[#This Row],[Yrkesaktivandel-I]]*Vekter!$J$3</f>
        <v>10</v>
      </c>
      <c r="AK218" s="55">
        <f>Tabell2[[#This Row],[Inntekt-I]]*Vekter!$L$3</f>
        <v>7.9127002553981898</v>
      </c>
      <c r="AL218" s="56">
        <f>SUM(Tabell2[[#This Row],[NIBR11-v]:[Inntekt-v]])</f>
        <v>59.386557514701671</v>
      </c>
    </row>
    <row r="219" spans="1:38" x14ac:dyDescent="0.25">
      <c r="A219" s="2" t="s">
        <v>216</v>
      </c>
      <c r="B219">
        <f>'Rådata-K'!M218</f>
        <v>1</v>
      </c>
      <c r="C219" s="7">
        <f>'Rådata-K'!L218</f>
        <v>195.26666666669999</v>
      </c>
      <c r="D219" s="34">
        <f>'Rådata-K'!N218</f>
        <v>9.0794217118222011</v>
      </c>
      <c r="E219" s="34">
        <f>'Rådata-K'!O218</f>
        <v>5.2110249784668383E-2</v>
      </c>
      <c r="F219" s="34">
        <f>'Rådata-K'!P218</f>
        <v>0.11256651657797789</v>
      </c>
      <c r="G219" s="34">
        <f>'Rådata-K'!Q218</f>
        <v>0.16496111338518216</v>
      </c>
      <c r="H219" s="34">
        <f>'Rådata-K'!R218</f>
        <v>-6.9930069930069783E-3</v>
      </c>
      <c r="I219" s="34">
        <f>'Rådata-K'!S218</f>
        <v>0.90400000000000003</v>
      </c>
      <c r="J219" s="22">
        <f>'Rådata-K'!K218</f>
        <v>387000</v>
      </c>
      <c r="K219" s="22">
        <f>Tabell2[[#This Row],[NIBR11]]</f>
        <v>1</v>
      </c>
      <c r="L219" s="32">
        <f>IF(Tabell2[[#This Row],[ReisetidOslo]]&lt;=C$434,C$434,IF(Tabell2[[#This Row],[ReisetidOslo]]&gt;=C$435,C$435,Tabell2[[#This Row],[ReisetidOslo]]))</f>
        <v>195.26666666669999</v>
      </c>
      <c r="M219" s="32">
        <f>IF(Tabell2[[#This Row],[Beftettotal]]&lt;=D$434,D$434,IF(Tabell2[[#This Row],[Beftettotal]]&gt;=D$435,D$435,Tabell2[[#This Row],[Beftettotal]]))</f>
        <v>9.0794217118222011</v>
      </c>
      <c r="N219" s="34">
        <f>IF(Tabell2[[#This Row],[Befvekst10]]&lt;=E$434,E$434,IF(Tabell2[[#This Row],[Befvekst10]]&gt;=E$435,E$435,Tabell2[[#This Row],[Befvekst10]]))</f>
        <v>5.2110249784668383E-2</v>
      </c>
      <c r="O219" s="34">
        <f>IF(Tabell2[[#This Row],[Kvinneandel]]&lt;=F$434,F$434,IF(Tabell2[[#This Row],[Kvinneandel]]&gt;=F$435,F$435,Tabell2[[#This Row],[Kvinneandel]]))</f>
        <v>0.11256651657797789</v>
      </c>
      <c r="P219" s="34">
        <f>IF(Tabell2[[#This Row],[Eldreandel]]&lt;=G$434,G$434,IF(Tabell2[[#This Row],[Eldreandel]]&gt;=G$435,G$435,Tabell2[[#This Row],[Eldreandel]]))</f>
        <v>0.16496111338518216</v>
      </c>
      <c r="Q219" s="34">
        <f>IF(Tabell2[[#This Row],[Sysselsettingsvekst10]]&lt;=H$434,H$434,IF(Tabell2[[#This Row],[Sysselsettingsvekst10]]&gt;=H$435,H$435,Tabell2[[#This Row],[Sysselsettingsvekst10]]))</f>
        <v>-6.9930069930069783E-3</v>
      </c>
      <c r="R219" s="34">
        <f>IF(Tabell2[[#This Row],[Yrkesaktivandel]]&lt;=I$434,I$434,IF(Tabell2[[#This Row],[Yrkesaktivandel]]&gt;=I$435,I$435,Tabell2[[#This Row],[Yrkesaktivandel]]))</f>
        <v>0.90400000000000003</v>
      </c>
      <c r="S219" s="22">
        <f>IF(Tabell2[[#This Row],[Inntekt]]&lt;=J$434,J$434,IF(Tabell2[[#This Row],[Inntekt]]&gt;=J$435,J$435,Tabell2[[#This Row],[Inntekt]]))</f>
        <v>387000</v>
      </c>
      <c r="T219" s="22">
        <f>IF(Tabell2[[#This Row],[NIBR11-T]]&lt;=K$437,100,IF(Tabell2[[#This Row],[NIBR11-T]]&gt;=K$436,0,100*(K$436-Tabell2[[#This Row],[NIBR11-T]])/K$439))</f>
        <v>100</v>
      </c>
      <c r="U219" s="7">
        <f>IF(Tabell2[[#This Row],[ReisetidOslo-T]]&lt;=L$437,100,IF(Tabell2[[#This Row],[ReisetidOslo-T]]&gt;=L$436,0,100*(L$436-Tabell2[[#This Row],[ReisetidOslo-T]])/L$439))</f>
        <v>37.377696526500017</v>
      </c>
      <c r="V219" s="7">
        <f>100-(M$436-Tabell2[[#This Row],[Beftettotal-T]])*100/M$439</f>
        <v>5.9949024735802539</v>
      </c>
      <c r="W219" s="7">
        <f>100-(N$436-Tabell2[[#This Row],[Befvekst10-T]])*100/N$439</f>
        <v>51.660849267265036</v>
      </c>
      <c r="X219" s="7">
        <f>100-(O$436-Tabell2[[#This Row],[Kvinneandel-T]])*100/O$439</f>
        <v>58.336265031673726</v>
      </c>
      <c r="Y219" s="7">
        <f>(P$436-Tabell2[[#This Row],[Eldreandel-T]])*100/P$439</f>
        <v>54.156240704990729</v>
      </c>
      <c r="Z219" s="7">
        <f>100-(Q$436-Tabell2[[#This Row],[Sysselsettingsvekst10-T]])*100/Q$439</f>
        <v>18.667856900958839</v>
      </c>
      <c r="AA219" s="7">
        <f>100-(R$436-Tabell2[[#This Row],[Yrkesaktivandel-T]])*100/R$439</f>
        <v>55.379021901850471</v>
      </c>
      <c r="AB219" s="7">
        <f>100-(S$436-Tabell2[[#This Row],[Inntekt-T]])*100/S$439</f>
        <v>64.267471557928957</v>
      </c>
      <c r="AC219" s="55">
        <f>Tabell2[[#This Row],[NIBR11-I]]*Vekter!$B$3</f>
        <v>20</v>
      </c>
      <c r="AD219" s="55">
        <f>Tabell2[[#This Row],[ReisetidOslo-I]]*Vekter!$C$3</f>
        <v>3.7377696526500017</v>
      </c>
      <c r="AE219" s="55">
        <f>Tabell2[[#This Row],[Beftettotal-I]]*Vekter!$D$3</f>
        <v>0.59949024735802536</v>
      </c>
      <c r="AF219" s="55">
        <f>Tabell2[[#This Row],[Befvekst10-I]]*Vekter!$E$3</f>
        <v>10.332169853453008</v>
      </c>
      <c r="AG219" s="55">
        <f>Tabell2[[#This Row],[Kvinneandel-I]]*Vekter!$F$3</f>
        <v>2.9168132515836867</v>
      </c>
      <c r="AH219" s="55">
        <f>Tabell2[[#This Row],[Eldreandel-I]]*Vekter!$G$3</f>
        <v>2.7078120352495367</v>
      </c>
      <c r="AI219" s="55">
        <f>Tabell2[[#This Row],[Sysselsettingsvekst10-I]]*Vekter!$H$3</f>
        <v>1.8667856900958839</v>
      </c>
      <c r="AJ219" s="55">
        <f>Tabell2[[#This Row],[Yrkesaktivandel-I]]*Vekter!$J$3</f>
        <v>5.5379021901850471</v>
      </c>
      <c r="AK219" s="55">
        <f>Tabell2[[#This Row],[Inntekt-I]]*Vekter!$L$3</f>
        <v>6.4267471557928957</v>
      </c>
      <c r="AL219" s="56">
        <f>SUM(Tabell2[[#This Row],[NIBR11-v]:[Inntekt-v]])</f>
        <v>54.125490076368081</v>
      </c>
    </row>
    <row r="220" spans="1:38" x14ac:dyDescent="0.25">
      <c r="A220" s="2" t="s">
        <v>217</v>
      </c>
      <c r="B220">
        <f>'Rådata-K'!M219</f>
        <v>1</v>
      </c>
      <c r="C220" s="7">
        <f>'Rådata-K'!L219</f>
        <v>162.1</v>
      </c>
      <c r="D220" s="34">
        <f>'Rådata-K'!N219</f>
        <v>136.83720263685871</v>
      </c>
      <c r="E220" s="34">
        <f>'Rådata-K'!O219</f>
        <v>0.28099007244432528</v>
      </c>
      <c r="F220" s="34">
        <f>'Rådata-K'!P219</f>
        <v>0.13164371367230454</v>
      </c>
      <c r="G220" s="34">
        <f>'Rådata-K'!Q219</f>
        <v>0.11703408912394617</v>
      </c>
      <c r="H220" s="34">
        <f>'Rådata-K'!R219</f>
        <v>0.20429435063581414</v>
      </c>
      <c r="I220" s="34">
        <f>'Rådata-K'!S219</f>
        <v>0.90281562216167122</v>
      </c>
      <c r="J220" s="22">
        <f>'Rådata-K'!K219</f>
        <v>422700</v>
      </c>
      <c r="K220" s="22">
        <f>Tabell2[[#This Row],[NIBR11]]</f>
        <v>1</v>
      </c>
      <c r="L220" s="32">
        <f>IF(Tabell2[[#This Row],[ReisetidOslo]]&lt;=C$434,C$434,IF(Tabell2[[#This Row],[ReisetidOslo]]&gt;=C$435,C$435,Tabell2[[#This Row],[ReisetidOslo]]))</f>
        <v>162.1</v>
      </c>
      <c r="M220" s="32">
        <f>IF(Tabell2[[#This Row],[Beftettotal]]&lt;=D$434,D$434,IF(Tabell2[[#This Row],[Beftettotal]]&gt;=D$435,D$435,Tabell2[[#This Row],[Beftettotal]]))</f>
        <v>130.60042534801397</v>
      </c>
      <c r="N220" s="34">
        <f>IF(Tabell2[[#This Row],[Befvekst10]]&lt;=E$434,E$434,IF(Tabell2[[#This Row],[Befvekst10]]&gt;=E$435,E$435,Tabell2[[#This Row],[Befvekst10]]))</f>
        <v>0.17216678769030419</v>
      </c>
      <c r="O220" s="34">
        <f>IF(Tabell2[[#This Row],[Kvinneandel]]&lt;=F$434,F$434,IF(Tabell2[[#This Row],[Kvinneandel]]&gt;=F$435,F$435,Tabell2[[#This Row],[Kvinneandel]]))</f>
        <v>0.12833341426573511</v>
      </c>
      <c r="P220" s="34">
        <f>IF(Tabell2[[#This Row],[Eldreandel]]&lt;=G$434,G$434,IF(Tabell2[[#This Row],[Eldreandel]]&gt;=G$435,G$435,Tabell2[[#This Row],[Eldreandel]]))</f>
        <v>0.12312339657223466</v>
      </c>
      <c r="Q220" s="34">
        <f>IF(Tabell2[[#This Row],[Sysselsettingsvekst10]]&lt;=H$434,H$434,IF(Tabell2[[#This Row],[Sysselsettingsvekst10]]&gt;=H$435,H$435,Tabell2[[#This Row],[Sysselsettingsvekst10]]))</f>
        <v>0.20429435063581414</v>
      </c>
      <c r="R220" s="34">
        <f>IF(Tabell2[[#This Row],[Yrkesaktivandel]]&lt;=I$434,I$434,IF(Tabell2[[#This Row],[Yrkesaktivandel]]&gt;=I$435,I$435,Tabell2[[#This Row],[Yrkesaktivandel]]))</f>
        <v>0.90281562216167122</v>
      </c>
      <c r="S220" s="22">
        <f>IF(Tabell2[[#This Row],[Inntekt]]&lt;=J$434,J$434,IF(Tabell2[[#This Row],[Inntekt]]&gt;=J$435,J$435,Tabell2[[#This Row],[Inntekt]]))</f>
        <v>417780</v>
      </c>
      <c r="T220" s="22">
        <f>IF(Tabell2[[#This Row],[NIBR11-T]]&lt;=K$437,100,IF(Tabell2[[#This Row],[NIBR11-T]]&gt;=K$436,0,100*(K$436-Tabell2[[#This Row],[NIBR11-T]])/K$439))</f>
        <v>100</v>
      </c>
      <c r="U220" s="7">
        <f>IF(Tabell2[[#This Row],[ReisetidOslo-T]]&lt;=L$437,100,IF(Tabell2[[#This Row],[ReisetidOslo-T]]&gt;=L$436,0,100*(L$436-Tabell2[[#This Row],[ReisetidOslo-T]])/L$439))</f>
        <v>51.929798903112783</v>
      </c>
      <c r="V220" s="7">
        <f>100-(M$436-Tabell2[[#This Row],[Beftettotal-T]])*100/M$439</f>
        <v>100</v>
      </c>
      <c r="W220" s="7">
        <f>100-(N$436-Tabell2[[#This Row],[Befvekst10-T]])*100/N$439</f>
        <v>100</v>
      </c>
      <c r="X220" s="7">
        <f>100-(O$436-Tabell2[[#This Row],[Kvinneandel-T]])*100/O$439</f>
        <v>100</v>
      </c>
      <c r="Y220" s="7">
        <f>(P$436-Tabell2[[#This Row],[Eldreandel-T]])*100/P$439</f>
        <v>100</v>
      </c>
      <c r="Z220" s="7">
        <f>100-(Q$436-Tabell2[[#This Row],[Sysselsettingsvekst10-T]])*100/Q$439</f>
        <v>81.534488435926363</v>
      </c>
      <c r="AA220" s="7">
        <f>100-(R$436-Tabell2[[#This Row],[Yrkesaktivandel-T]])*100/R$439</f>
        <v>54.468363554591043</v>
      </c>
      <c r="AB220" s="7">
        <f>100-(S$436-Tabell2[[#This Row],[Inntekt-T]])*100/S$439</f>
        <v>100</v>
      </c>
      <c r="AC220" s="55">
        <f>Tabell2[[#This Row],[NIBR11-I]]*Vekter!$B$3</f>
        <v>20</v>
      </c>
      <c r="AD220" s="55">
        <f>Tabell2[[#This Row],[ReisetidOslo-I]]*Vekter!$C$3</f>
        <v>5.1929798903112783</v>
      </c>
      <c r="AE220" s="55">
        <f>Tabell2[[#This Row],[Beftettotal-I]]*Vekter!$D$3</f>
        <v>10</v>
      </c>
      <c r="AF220" s="55">
        <f>Tabell2[[#This Row],[Befvekst10-I]]*Vekter!$E$3</f>
        <v>20</v>
      </c>
      <c r="AG220" s="55">
        <f>Tabell2[[#This Row],[Kvinneandel-I]]*Vekter!$F$3</f>
        <v>5</v>
      </c>
      <c r="AH220" s="55">
        <f>Tabell2[[#This Row],[Eldreandel-I]]*Vekter!$G$3</f>
        <v>5</v>
      </c>
      <c r="AI220" s="55">
        <f>Tabell2[[#This Row],[Sysselsettingsvekst10-I]]*Vekter!$H$3</f>
        <v>8.1534488435926367</v>
      </c>
      <c r="AJ220" s="55">
        <f>Tabell2[[#This Row],[Yrkesaktivandel-I]]*Vekter!$J$3</f>
        <v>5.4468363554591051</v>
      </c>
      <c r="AK220" s="55">
        <f>Tabell2[[#This Row],[Inntekt-I]]*Vekter!$L$3</f>
        <v>10</v>
      </c>
      <c r="AL220" s="56">
        <f>SUM(Tabell2[[#This Row],[NIBR11-v]:[Inntekt-v]])</f>
        <v>88.793265089363018</v>
      </c>
    </row>
    <row r="221" spans="1:38" x14ac:dyDescent="0.25">
      <c r="A221" s="2" t="s">
        <v>218</v>
      </c>
      <c r="B221">
        <f>'Rådata-K'!M220</f>
        <v>5</v>
      </c>
      <c r="C221" s="7">
        <f>'Rådata-K'!L220</f>
        <v>220.96666666670001</v>
      </c>
      <c r="D221" s="34">
        <f>'Rådata-K'!N220</f>
        <v>42.771804062126641</v>
      </c>
      <c r="E221" s="34">
        <f>'Rådata-K'!O220</f>
        <v>0.12603909233880017</v>
      </c>
      <c r="F221" s="34">
        <f>'Rådata-K'!P220</f>
        <v>0.12869114126097367</v>
      </c>
      <c r="G221" s="34">
        <f>'Rådata-K'!Q220</f>
        <v>0.13288108539505186</v>
      </c>
      <c r="H221" s="34">
        <f>'Rådata-K'!R220</f>
        <v>0.45198836081474303</v>
      </c>
      <c r="I221" s="34">
        <f>'Rådata-K'!S220</f>
        <v>0.9410934744268078</v>
      </c>
      <c r="J221" s="22">
        <f>'Rådata-K'!K220</f>
        <v>475200</v>
      </c>
      <c r="K221" s="22">
        <f>Tabell2[[#This Row],[NIBR11]]</f>
        <v>5</v>
      </c>
      <c r="L221" s="32">
        <f>IF(Tabell2[[#This Row],[ReisetidOslo]]&lt;=C$434,C$434,IF(Tabell2[[#This Row],[ReisetidOslo]]&gt;=C$435,C$435,Tabell2[[#This Row],[ReisetidOslo]]))</f>
        <v>220.96666666670001</v>
      </c>
      <c r="M221" s="32">
        <f>IF(Tabell2[[#This Row],[Beftettotal]]&lt;=D$434,D$434,IF(Tabell2[[#This Row],[Beftettotal]]&gt;=D$435,D$435,Tabell2[[#This Row],[Beftettotal]]))</f>
        <v>42.771804062126641</v>
      </c>
      <c r="N221" s="34">
        <f>IF(Tabell2[[#This Row],[Befvekst10]]&lt;=E$434,E$434,IF(Tabell2[[#This Row],[Befvekst10]]&gt;=E$435,E$435,Tabell2[[#This Row],[Befvekst10]]))</f>
        <v>0.12603909233880017</v>
      </c>
      <c r="O221" s="34">
        <f>IF(Tabell2[[#This Row],[Kvinneandel]]&lt;=F$434,F$434,IF(Tabell2[[#This Row],[Kvinneandel]]&gt;=F$435,F$435,Tabell2[[#This Row],[Kvinneandel]]))</f>
        <v>0.12833341426573511</v>
      </c>
      <c r="P221" s="34">
        <f>IF(Tabell2[[#This Row],[Eldreandel]]&lt;=G$434,G$434,IF(Tabell2[[#This Row],[Eldreandel]]&gt;=G$435,G$435,Tabell2[[#This Row],[Eldreandel]]))</f>
        <v>0.13288108539505186</v>
      </c>
      <c r="Q221" s="34">
        <f>IF(Tabell2[[#This Row],[Sysselsettingsvekst10]]&lt;=H$434,H$434,IF(Tabell2[[#This Row],[Sysselsettingsvekst10]]&gt;=H$435,H$435,Tabell2[[#This Row],[Sysselsettingsvekst10]]))</f>
        <v>0.26635476409167841</v>
      </c>
      <c r="R221" s="34">
        <f>IF(Tabell2[[#This Row],[Yrkesaktivandel]]&lt;=I$434,I$434,IF(Tabell2[[#This Row],[Yrkesaktivandel]]&gt;=I$435,I$435,Tabell2[[#This Row],[Yrkesaktivandel]]))</f>
        <v>0.9410934744268078</v>
      </c>
      <c r="S221" s="22">
        <f>IF(Tabell2[[#This Row],[Inntekt]]&lt;=J$434,J$434,IF(Tabell2[[#This Row],[Inntekt]]&gt;=J$435,J$435,Tabell2[[#This Row],[Inntekt]]))</f>
        <v>417780</v>
      </c>
      <c r="T221" s="22">
        <f>IF(Tabell2[[#This Row],[NIBR11-T]]&lt;=K$437,100,IF(Tabell2[[#This Row],[NIBR11-T]]&gt;=K$436,0,100*(K$436-Tabell2[[#This Row],[NIBR11-T]])/K$439))</f>
        <v>60</v>
      </c>
      <c r="U221" s="7">
        <f>IF(Tabell2[[#This Row],[ReisetidOslo-T]]&lt;=L$437,100,IF(Tabell2[[#This Row],[ReisetidOslo-T]]&gt;=L$436,0,100*(L$436-Tabell2[[#This Row],[ReisetidOslo-T]])/L$439))</f>
        <v>26.101645338201351</v>
      </c>
      <c r="V221" s="7">
        <f>100-(M$436-Tabell2[[#This Row],[Beftettotal-T]])*100/M$439</f>
        <v>32.058344956493642</v>
      </c>
      <c r="W221" s="7">
        <f>100-(N$436-Tabell2[[#This Row],[Befvekst10-T]])*100/N$439</f>
        <v>81.427303690011215</v>
      </c>
      <c r="X221" s="7">
        <f>100-(O$436-Tabell2[[#This Row],[Kvinneandel-T]])*100/O$439</f>
        <v>100</v>
      </c>
      <c r="Y221" s="7">
        <f>(P$436-Tabell2[[#This Row],[Eldreandel-T]])*100/P$439</f>
        <v>89.307993558329187</v>
      </c>
      <c r="Z221" s="7">
        <f>100-(Q$436-Tabell2[[#This Row],[Sysselsettingsvekst10-T]])*100/Q$439</f>
        <v>100</v>
      </c>
      <c r="AA221" s="7">
        <f>100-(R$436-Tabell2[[#This Row],[Yrkesaktivandel-T]])*100/R$439</f>
        <v>83.899888320028609</v>
      </c>
      <c r="AB221" s="7">
        <f>100-(S$436-Tabell2[[#This Row],[Inntekt-T]])*100/S$439</f>
        <v>100</v>
      </c>
      <c r="AC221" s="55">
        <f>Tabell2[[#This Row],[NIBR11-I]]*Vekter!$B$3</f>
        <v>12</v>
      </c>
      <c r="AD221" s="55">
        <f>Tabell2[[#This Row],[ReisetidOslo-I]]*Vekter!$C$3</f>
        <v>2.6101645338201354</v>
      </c>
      <c r="AE221" s="55">
        <f>Tabell2[[#This Row],[Beftettotal-I]]*Vekter!$D$3</f>
        <v>3.2058344956493645</v>
      </c>
      <c r="AF221" s="55">
        <f>Tabell2[[#This Row],[Befvekst10-I]]*Vekter!$E$3</f>
        <v>16.285460738002243</v>
      </c>
      <c r="AG221" s="55">
        <f>Tabell2[[#This Row],[Kvinneandel-I]]*Vekter!$F$3</f>
        <v>5</v>
      </c>
      <c r="AH221" s="55">
        <f>Tabell2[[#This Row],[Eldreandel-I]]*Vekter!$G$3</f>
        <v>4.4653996779164595</v>
      </c>
      <c r="AI221" s="55">
        <f>Tabell2[[#This Row],[Sysselsettingsvekst10-I]]*Vekter!$H$3</f>
        <v>10</v>
      </c>
      <c r="AJ221" s="55">
        <f>Tabell2[[#This Row],[Yrkesaktivandel-I]]*Vekter!$J$3</f>
        <v>8.3899888320028619</v>
      </c>
      <c r="AK221" s="55">
        <f>Tabell2[[#This Row],[Inntekt-I]]*Vekter!$L$3</f>
        <v>10</v>
      </c>
      <c r="AL221" s="56">
        <f>SUM(Tabell2[[#This Row],[NIBR11-v]:[Inntekt-v]])</f>
        <v>71.95684827739106</v>
      </c>
    </row>
    <row r="222" spans="1:38" x14ac:dyDescent="0.25">
      <c r="A222" s="2" t="s">
        <v>219</v>
      </c>
      <c r="B222">
        <f>'Rådata-K'!M221</f>
        <v>1</v>
      </c>
      <c r="C222" s="7">
        <f>'Rådata-K'!L221</f>
        <v>185.36666666669998</v>
      </c>
      <c r="D222" s="34">
        <f>'Rådata-K'!N221</f>
        <v>67.832027325698206</v>
      </c>
      <c r="E222" s="34">
        <f>'Rådata-K'!O221</f>
        <v>0.21943290590572517</v>
      </c>
      <c r="F222" s="34">
        <f>'Rådata-K'!P221</f>
        <v>0.12751777251184834</v>
      </c>
      <c r="G222" s="34">
        <f>'Rådata-K'!Q221</f>
        <v>0.11640995260663507</v>
      </c>
      <c r="H222" s="34">
        <f>'Rådata-K'!R221</f>
        <v>0.16688396349413304</v>
      </c>
      <c r="I222" s="34">
        <f>'Rådata-K'!S221</f>
        <v>0.87538382804503578</v>
      </c>
      <c r="J222" s="22">
        <f>'Rådata-K'!K221</f>
        <v>409000</v>
      </c>
      <c r="K222" s="22">
        <f>Tabell2[[#This Row],[NIBR11]]</f>
        <v>1</v>
      </c>
      <c r="L222" s="32">
        <f>IF(Tabell2[[#This Row],[ReisetidOslo]]&lt;=C$434,C$434,IF(Tabell2[[#This Row],[ReisetidOslo]]&gt;=C$435,C$435,Tabell2[[#This Row],[ReisetidOslo]]))</f>
        <v>185.36666666669998</v>
      </c>
      <c r="M222" s="32">
        <f>IF(Tabell2[[#This Row],[Beftettotal]]&lt;=D$434,D$434,IF(Tabell2[[#This Row],[Beftettotal]]&gt;=D$435,D$435,Tabell2[[#This Row],[Beftettotal]]))</f>
        <v>67.832027325698206</v>
      </c>
      <c r="N222" s="34">
        <f>IF(Tabell2[[#This Row],[Befvekst10]]&lt;=E$434,E$434,IF(Tabell2[[#This Row],[Befvekst10]]&gt;=E$435,E$435,Tabell2[[#This Row],[Befvekst10]]))</f>
        <v>0.17216678769030419</v>
      </c>
      <c r="O222" s="34">
        <f>IF(Tabell2[[#This Row],[Kvinneandel]]&lt;=F$434,F$434,IF(Tabell2[[#This Row],[Kvinneandel]]&gt;=F$435,F$435,Tabell2[[#This Row],[Kvinneandel]]))</f>
        <v>0.12751777251184834</v>
      </c>
      <c r="P222" s="34">
        <f>IF(Tabell2[[#This Row],[Eldreandel]]&lt;=G$434,G$434,IF(Tabell2[[#This Row],[Eldreandel]]&gt;=G$435,G$435,Tabell2[[#This Row],[Eldreandel]]))</f>
        <v>0.12312339657223466</v>
      </c>
      <c r="Q222" s="34">
        <f>IF(Tabell2[[#This Row],[Sysselsettingsvekst10]]&lt;=H$434,H$434,IF(Tabell2[[#This Row],[Sysselsettingsvekst10]]&gt;=H$435,H$435,Tabell2[[#This Row],[Sysselsettingsvekst10]]))</f>
        <v>0.16688396349413304</v>
      </c>
      <c r="R222" s="34">
        <f>IF(Tabell2[[#This Row],[Yrkesaktivandel]]&lt;=I$434,I$434,IF(Tabell2[[#This Row],[Yrkesaktivandel]]&gt;=I$435,I$435,Tabell2[[#This Row],[Yrkesaktivandel]]))</f>
        <v>0.87538382804503578</v>
      </c>
      <c r="S222" s="22">
        <f>IF(Tabell2[[#This Row],[Inntekt]]&lt;=J$434,J$434,IF(Tabell2[[#This Row],[Inntekt]]&gt;=J$435,J$435,Tabell2[[#This Row],[Inntekt]]))</f>
        <v>409000</v>
      </c>
      <c r="T222" s="22">
        <f>IF(Tabell2[[#This Row],[NIBR11-T]]&lt;=K$437,100,IF(Tabell2[[#This Row],[NIBR11-T]]&gt;=K$436,0,100*(K$436-Tabell2[[#This Row],[NIBR11-T]])/K$439))</f>
        <v>100</v>
      </c>
      <c r="U222" s="7">
        <f>IF(Tabell2[[#This Row],[ReisetidOslo-T]]&lt;=L$437,100,IF(Tabell2[[#This Row],[ReisetidOslo-T]]&gt;=L$436,0,100*(L$436-Tabell2[[#This Row],[ReisetidOslo-T]])/L$439))</f>
        <v>41.721389396700673</v>
      </c>
      <c r="V222" s="7">
        <f>100-(M$436-Tabell2[[#This Row],[Beftettotal-T]])*100/M$439</f>
        <v>51.444201404640097</v>
      </c>
      <c r="W222" s="7">
        <f>100-(N$436-Tabell2[[#This Row],[Befvekst10-T]])*100/N$439</f>
        <v>100</v>
      </c>
      <c r="X222" s="7">
        <f>100-(O$436-Tabell2[[#This Row],[Kvinneandel-T]])*100/O$439</f>
        <v>97.844681779762794</v>
      </c>
      <c r="Y222" s="7">
        <f>(P$436-Tabell2[[#This Row],[Eldreandel-T]])*100/P$439</f>
        <v>100</v>
      </c>
      <c r="Z222" s="7">
        <f>100-(Q$436-Tabell2[[#This Row],[Sysselsettingsvekst10-T]])*100/Q$439</f>
        <v>70.403368001602075</v>
      </c>
      <c r="AA222" s="7">
        <f>100-(R$436-Tabell2[[#This Row],[Yrkesaktivandel-T]])*100/R$439</f>
        <v>33.376283405687744</v>
      </c>
      <c r="AB222" s="7">
        <f>100-(S$436-Tabell2[[#This Row],[Inntekt-T]])*100/S$439</f>
        <v>89.807290457394942</v>
      </c>
      <c r="AC222" s="55">
        <f>Tabell2[[#This Row],[NIBR11-I]]*Vekter!$B$3</f>
        <v>20</v>
      </c>
      <c r="AD222" s="55">
        <f>Tabell2[[#This Row],[ReisetidOslo-I]]*Vekter!$C$3</f>
        <v>4.1721389396700674</v>
      </c>
      <c r="AE222" s="55">
        <f>Tabell2[[#This Row],[Beftettotal-I]]*Vekter!$D$3</f>
        <v>5.1444201404640104</v>
      </c>
      <c r="AF222" s="55">
        <f>Tabell2[[#This Row],[Befvekst10-I]]*Vekter!$E$3</f>
        <v>20</v>
      </c>
      <c r="AG222" s="55">
        <f>Tabell2[[#This Row],[Kvinneandel-I]]*Vekter!$F$3</f>
        <v>4.8922340889881397</v>
      </c>
      <c r="AH222" s="55">
        <f>Tabell2[[#This Row],[Eldreandel-I]]*Vekter!$G$3</f>
        <v>5</v>
      </c>
      <c r="AI222" s="55">
        <f>Tabell2[[#This Row],[Sysselsettingsvekst10-I]]*Vekter!$H$3</f>
        <v>7.0403368001602082</v>
      </c>
      <c r="AJ222" s="55">
        <f>Tabell2[[#This Row],[Yrkesaktivandel-I]]*Vekter!$J$3</f>
        <v>3.3376283405687746</v>
      </c>
      <c r="AK222" s="55">
        <f>Tabell2[[#This Row],[Inntekt-I]]*Vekter!$L$3</f>
        <v>8.9807290457394942</v>
      </c>
      <c r="AL222" s="56">
        <f>SUM(Tabell2[[#This Row],[NIBR11-v]:[Inntekt-v]])</f>
        <v>78.567487355590686</v>
      </c>
    </row>
    <row r="223" spans="1:38" x14ac:dyDescent="0.25">
      <c r="A223" s="2" t="s">
        <v>220</v>
      </c>
      <c r="B223">
        <f>'Rådata-K'!M222</f>
        <v>1</v>
      </c>
      <c r="C223" s="7">
        <f>'Rådata-K'!L222</f>
        <v>170.01666666670002</v>
      </c>
      <c r="D223" s="34">
        <f>'Rådata-K'!N222</f>
        <v>164.91358358088038</v>
      </c>
      <c r="E223" s="34">
        <f>'Rådata-K'!O222</f>
        <v>0.21872973107818194</v>
      </c>
      <c r="F223" s="34">
        <f>'Rådata-K'!P222</f>
        <v>0.13165759200884267</v>
      </c>
      <c r="G223" s="34">
        <f>'Rådata-K'!Q222</f>
        <v>9.8579440782740405E-2</v>
      </c>
      <c r="H223" s="34">
        <f>'Rådata-K'!R222</f>
        <v>0.64108079042882116</v>
      </c>
      <c r="I223" s="34">
        <f>'Rådata-K'!S222</f>
        <v>0.8968159966557514</v>
      </c>
      <c r="J223" s="22">
        <f>'Rådata-K'!K222</f>
        <v>435800</v>
      </c>
      <c r="K223" s="22">
        <f>Tabell2[[#This Row],[NIBR11]]</f>
        <v>1</v>
      </c>
      <c r="L223" s="32">
        <f>IF(Tabell2[[#This Row],[ReisetidOslo]]&lt;=C$434,C$434,IF(Tabell2[[#This Row],[ReisetidOslo]]&gt;=C$435,C$435,Tabell2[[#This Row],[ReisetidOslo]]))</f>
        <v>170.01666666670002</v>
      </c>
      <c r="M223" s="32">
        <f>IF(Tabell2[[#This Row],[Beftettotal]]&lt;=D$434,D$434,IF(Tabell2[[#This Row],[Beftettotal]]&gt;=D$435,D$435,Tabell2[[#This Row],[Beftettotal]]))</f>
        <v>130.60042534801397</v>
      </c>
      <c r="N223" s="34">
        <f>IF(Tabell2[[#This Row],[Befvekst10]]&lt;=E$434,E$434,IF(Tabell2[[#This Row],[Befvekst10]]&gt;=E$435,E$435,Tabell2[[#This Row],[Befvekst10]]))</f>
        <v>0.17216678769030419</v>
      </c>
      <c r="O223" s="34">
        <f>IF(Tabell2[[#This Row],[Kvinneandel]]&lt;=F$434,F$434,IF(Tabell2[[#This Row],[Kvinneandel]]&gt;=F$435,F$435,Tabell2[[#This Row],[Kvinneandel]]))</f>
        <v>0.12833341426573511</v>
      </c>
      <c r="P223" s="34">
        <f>IF(Tabell2[[#This Row],[Eldreandel]]&lt;=G$434,G$434,IF(Tabell2[[#This Row],[Eldreandel]]&gt;=G$435,G$435,Tabell2[[#This Row],[Eldreandel]]))</f>
        <v>0.12312339657223466</v>
      </c>
      <c r="Q223" s="34">
        <f>IF(Tabell2[[#This Row],[Sysselsettingsvekst10]]&lt;=H$434,H$434,IF(Tabell2[[#This Row],[Sysselsettingsvekst10]]&gt;=H$435,H$435,Tabell2[[#This Row],[Sysselsettingsvekst10]]))</f>
        <v>0.26635476409167841</v>
      </c>
      <c r="R223" s="34">
        <f>IF(Tabell2[[#This Row],[Yrkesaktivandel]]&lt;=I$434,I$434,IF(Tabell2[[#This Row],[Yrkesaktivandel]]&gt;=I$435,I$435,Tabell2[[#This Row],[Yrkesaktivandel]]))</f>
        <v>0.8968159966557514</v>
      </c>
      <c r="S223" s="22">
        <f>IF(Tabell2[[#This Row],[Inntekt]]&lt;=J$434,J$434,IF(Tabell2[[#This Row],[Inntekt]]&gt;=J$435,J$435,Tabell2[[#This Row],[Inntekt]]))</f>
        <v>417780</v>
      </c>
      <c r="T223" s="22">
        <f>IF(Tabell2[[#This Row],[NIBR11-T]]&lt;=K$437,100,IF(Tabell2[[#This Row],[NIBR11-T]]&gt;=K$436,0,100*(K$436-Tabell2[[#This Row],[NIBR11-T]])/K$439))</f>
        <v>100</v>
      </c>
      <c r="U223" s="7">
        <f>IF(Tabell2[[#This Row],[ReisetidOslo-T]]&lt;=L$437,100,IF(Tabell2[[#This Row],[ReisetidOslo-T]]&gt;=L$436,0,100*(L$436-Tabell2[[#This Row],[ReisetidOslo-T]])/L$439))</f>
        <v>48.45630712978955</v>
      </c>
      <c r="V223" s="7">
        <f>100-(M$436-Tabell2[[#This Row],[Beftettotal-T]])*100/M$439</f>
        <v>100</v>
      </c>
      <c r="W223" s="7">
        <f>100-(N$436-Tabell2[[#This Row],[Befvekst10-T]])*100/N$439</f>
        <v>100</v>
      </c>
      <c r="X223" s="7">
        <f>100-(O$436-Tabell2[[#This Row],[Kvinneandel-T]])*100/O$439</f>
        <v>100</v>
      </c>
      <c r="Y223" s="7">
        <f>(P$436-Tabell2[[#This Row],[Eldreandel-T]])*100/P$439</f>
        <v>100</v>
      </c>
      <c r="Z223" s="7">
        <f>100-(Q$436-Tabell2[[#This Row],[Sysselsettingsvekst10-T]])*100/Q$439</f>
        <v>100</v>
      </c>
      <c r="AA223" s="7">
        <f>100-(R$436-Tabell2[[#This Row],[Yrkesaktivandel-T]])*100/R$439</f>
        <v>49.855301007671272</v>
      </c>
      <c r="AB223" s="7">
        <f>100-(S$436-Tabell2[[#This Row],[Inntekt-T]])*100/S$439</f>
        <v>100</v>
      </c>
      <c r="AC223" s="55">
        <f>Tabell2[[#This Row],[NIBR11-I]]*Vekter!$B$3</f>
        <v>20</v>
      </c>
      <c r="AD223" s="55">
        <f>Tabell2[[#This Row],[ReisetidOslo-I]]*Vekter!$C$3</f>
        <v>4.8456307129789558</v>
      </c>
      <c r="AE223" s="55">
        <f>Tabell2[[#This Row],[Beftettotal-I]]*Vekter!$D$3</f>
        <v>10</v>
      </c>
      <c r="AF223" s="55">
        <f>Tabell2[[#This Row],[Befvekst10-I]]*Vekter!$E$3</f>
        <v>20</v>
      </c>
      <c r="AG223" s="55">
        <f>Tabell2[[#This Row],[Kvinneandel-I]]*Vekter!$F$3</f>
        <v>5</v>
      </c>
      <c r="AH223" s="55">
        <f>Tabell2[[#This Row],[Eldreandel-I]]*Vekter!$G$3</f>
        <v>5</v>
      </c>
      <c r="AI223" s="55">
        <f>Tabell2[[#This Row],[Sysselsettingsvekst10-I]]*Vekter!$H$3</f>
        <v>10</v>
      </c>
      <c r="AJ223" s="55">
        <f>Tabell2[[#This Row],[Yrkesaktivandel-I]]*Vekter!$J$3</f>
        <v>4.9855301007671278</v>
      </c>
      <c r="AK223" s="55">
        <f>Tabell2[[#This Row],[Inntekt-I]]*Vekter!$L$3</f>
        <v>10</v>
      </c>
      <c r="AL223" s="56">
        <f>SUM(Tabell2[[#This Row],[NIBR11-v]:[Inntekt-v]])</f>
        <v>89.831160813746081</v>
      </c>
    </row>
    <row r="224" spans="1:38" x14ac:dyDescent="0.25">
      <c r="A224" s="2" t="s">
        <v>221</v>
      </c>
      <c r="B224">
        <f>'Rådata-K'!M223</f>
        <v>1</v>
      </c>
      <c r="C224" s="7">
        <f>'Rådata-K'!L223</f>
        <v>168.5833333333</v>
      </c>
      <c r="D224" s="34">
        <f>'Rådata-K'!N223</f>
        <v>275.52170902976957</v>
      </c>
      <c r="E224" s="34">
        <f>'Rådata-K'!O223</f>
        <v>0.26512261580381469</v>
      </c>
      <c r="F224" s="34">
        <f>'Rådata-K'!P223</f>
        <v>0.13116519491707948</v>
      </c>
      <c r="G224" s="34">
        <f>'Rådata-K'!Q223</f>
        <v>0.11023763371383445</v>
      </c>
      <c r="H224" s="34">
        <f>'Rådata-K'!R223</f>
        <v>0.31404958677685957</v>
      </c>
      <c r="I224" s="34">
        <f>'Rådata-K'!S223</f>
        <v>0.89107109242642901</v>
      </c>
      <c r="J224" s="22">
        <f>'Rådata-K'!K223</f>
        <v>415100</v>
      </c>
      <c r="K224" s="22">
        <f>Tabell2[[#This Row],[NIBR11]]</f>
        <v>1</v>
      </c>
      <c r="L224" s="32">
        <f>IF(Tabell2[[#This Row],[ReisetidOslo]]&lt;=C$434,C$434,IF(Tabell2[[#This Row],[ReisetidOslo]]&gt;=C$435,C$435,Tabell2[[#This Row],[ReisetidOslo]]))</f>
        <v>168.5833333333</v>
      </c>
      <c r="M224" s="32">
        <f>IF(Tabell2[[#This Row],[Beftettotal]]&lt;=D$434,D$434,IF(Tabell2[[#This Row],[Beftettotal]]&gt;=D$435,D$435,Tabell2[[#This Row],[Beftettotal]]))</f>
        <v>130.60042534801397</v>
      </c>
      <c r="N224" s="34">
        <f>IF(Tabell2[[#This Row],[Befvekst10]]&lt;=E$434,E$434,IF(Tabell2[[#This Row],[Befvekst10]]&gt;=E$435,E$435,Tabell2[[#This Row],[Befvekst10]]))</f>
        <v>0.17216678769030419</v>
      </c>
      <c r="O224" s="34">
        <f>IF(Tabell2[[#This Row],[Kvinneandel]]&lt;=F$434,F$434,IF(Tabell2[[#This Row],[Kvinneandel]]&gt;=F$435,F$435,Tabell2[[#This Row],[Kvinneandel]]))</f>
        <v>0.12833341426573511</v>
      </c>
      <c r="P224" s="34">
        <f>IF(Tabell2[[#This Row],[Eldreandel]]&lt;=G$434,G$434,IF(Tabell2[[#This Row],[Eldreandel]]&gt;=G$435,G$435,Tabell2[[#This Row],[Eldreandel]]))</f>
        <v>0.12312339657223466</v>
      </c>
      <c r="Q224" s="34">
        <f>IF(Tabell2[[#This Row],[Sysselsettingsvekst10]]&lt;=H$434,H$434,IF(Tabell2[[#This Row],[Sysselsettingsvekst10]]&gt;=H$435,H$435,Tabell2[[#This Row],[Sysselsettingsvekst10]]))</f>
        <v>0.26635476409167841</v>
      </c>
      <c r="R224" s="34">
        <f>IF(Tabell2[[#This Row],[Yrkesaktivandel]]&lt;=I$434,I$434,IF(Tabell2[[#This Row],[Yrkesaktivandel]]&gt;=I$435,I$435,Tabell2[[#This Row],[Yrkesaktivandel]]))</f>
        <v>0.89107109242642901</v>
      </c>
      <c r="S224" s="22">
        <f>IF(Tabell2[[#This Row],[Inntekt]]&lt;=J$434,J$434,IF(Tabell2[[#This Row],[Inntekt]]&gt;=J$435,J$435,Tabell2[[#This Row],[Inntekt]]))</f>
        <v>415100</v>
      </c>
      <c r="T224" s="22">
        <f>IF(Tabell2[[#This Row],[NIBR11-T]]&lt;=K$437,100,IF(Tabell2[[#This Row],[NIBR11-T]]&gt;=K$436,0,100*(K$436-Tabell2[[#This Row],[NIBR11-T]])/K$439))</f>
        <v>100</v>
      </c>
      <c r="U224" s="7">
        <f>IF(Tabell2[[#This Row],[ReisetidOslo-T]]&lt;=L$437,100,IF(Tabell2[[#This Row],[ReisetidOslo-T]]&gt;=L$436,0,100*(L$436-Tabell2[[#This Row],[ReisetidOslo-T]])/L$439))</f>
        <v>49.085191956144151</v>
      </c>
      <c r="V224" s="7">
        <f>100-(M$436-Tabell2[[#This Row],[Beftettotal-T]])*100/M$439</f>
        <v>100</v>
      </c>
      <c r="W224" s="7">
        <f>100-(N$436-Tabell2[[#This Row],[Befvekst10-T]])*100/N$439</f>
        <v>100</v>
      </c>
      <c r="X224" s="7">
        <f>100-(O$436-Tabell2[[#This Row],[Kvinneandel-T]])*100/O$439</f>
        <v>100</v>
      </c>
      <c r="Y224" s="7">
        <f>(P$436-Tabell2[[#This Row],[Eldreandel-T]])*100/P$439</f>
        <v>100</v>
      </c>
      <c r="Z224" s="7">
        <f>100-(Q$436-Tabell2[[#This Row],[Sysselsettingsvekst10-T]])*100/Q$439</f>
        <v>100</v>
      </c>
      <c r="AA224" s="7">
        <f>100-(R$436-Tabell2[[#This Row],[Yrkesaktivandel-T]])*100/R$439</f>
        <v>45.438091548551014</v>
      </c>
      <c r="AB224" s="7">
        <f>100-(S$436-Tabell2[[#This Row],[Inntekt-T]])*100/S$439</f>
        <v>96.888785697701422</v>
      </c>
      <c r="AC224" s="55">
        <f>Tabell2[[#This Row],[NIBR11-I]]*Vekter!$B$3</f>
        <v>20</v>
      </c>
      <c r="AD224" s="55">
        <f>Tabell2[[#This Row],[ReisetidOslo-I]]*Vekter!$C$3</f>
        <v>4.9085191956144154</v>
      </c>
      <c r="AE224" s="55">
        <f>Tabell2[[#This Row],[Beftettotal-I]]*Vekter!$D$3</f>
        <v>10</v>
      </c>
      <c r="AF224" s="55">
        <f>Tabell2[[#This Row],[Befvekst10-I]]*Vekter!$E$3</f>
        <v>20</v>
      </c>
      <c r="AG224" s="55">
        <f>Tabell2[[#This Row],[Kvinneandel-I]]*Vekter!$F$3</f>
        <v>5</v>
      </c>
      <c r="AH224" s="55">
        <f>Tabell2[[#This Row],[Eldreandel-I]]*Vekter!$G$3</f>
        <v>5</v>
      </c>
      <c r="AI224" s="55">
        <f>Tabell2[[#This Row],[Sysselsettingsvekst10-I]]*Vekter!$H$3</f>
        <v>10</v>
      </c>
      <c r="AJ224" s="55">
        <f>Tabell2[[#This Row],[Yrkesaktivandel-I]]*Vekter!$J$3</f>
        <v>4.5438091548551016</v>
      </c>
      <c r="AK224" s="55">
        <f>Tabell2[[#This Row],[Inntekt-I]]*Vekter!$L$3</f>
        <v>9.6888785697701429</v>
      </c>
      <c r="AL224" s="56">
        <f>SUM(Tabell2[[#This Row],[NIBR11-v]:[Inntekt-v]])</f>
        <v>89.141206920239654</v>
      </c>
    </row>
    <row r="225" spans="1:38" x14ac:dyDescent="0.25">
      <c r="A225" s="2" t="s">
        <v>222</v>
      </c>
      <c r="B225">
        <f>'Rådata-K'!M224</f>
        <v>1</v>
      </c>
      <c r="C225" s="7">
        <f>'Rådata-K'!L224</f>
        <v>205.1</v>
      </c>
      <c r="D225" s="34">
        <f>'Rådata-K'!N224</f>
        <v>5.7259485000139803</v>
      </c>
      <c r="E225" s="34">
        <f>'Rådata-K'!O224</f>
        <v>-1.3962445835339454E-2</v>
      </c>
      <c r="F225" s="34">
        <f>'Rådata-K'!P224</f>
        <v>0.113037109375</v>
      </c>
      <c r="G225" s="34">
        <f>'Rådata-K'!Q224</f>
        <v>0.200439453125</v>
      </c>
      <c r="H225" s="34">
        <f>'Rådata-K'!R224</f>
        <v>-0.17068645640074209</v>
      </c>
      <c r="I225" s="34">
        <f>'Rådata-K'!S224</f>
        <v>0.85518157661647476</v>
      </c>
      <c r="J225" s="22">
        <f>'Rådata-K'!K224</f>
        <v>350700</v>
      </c>
      <c r="K225" s="22">
        <f>Tabell2[[#This Row],[NIBR11]]</f>
        <v>1</v>
      </c>
      <c r="L225" s="32">
        <f>IF(Tabell2[[#This Row],[ReisetidOslo]]&lt;=C$434,C$434,IF(Tabell2[[#This Row],[ReisetidOslo]]&gt;=C$435,C$435,Tabell2[[#This Row],[ReisetidOslo]]))</f>
        <v>205.1</v>
      </c>
      <c r="M225" s="32">
        <f>IF(Tabell2[[#This Row],[Beftettotal]]&lt;=D$434,D$434,IF(Tabell2[[#This Row],[Beftettotal]]&gt;=D$435,D$435,Tabell2[[#This Row],[Beftettotal]]))</f>
        <v>5.7259485000139803</v>
      </c>
      <c r="N225" s="34">
        <f>IF(Tabell2[[#This Row],[Befvekst10]]&lt;=E$434,E$434,IF(Tabell2[[#This Row],[Befvekst10]]&gt;=E$435,E$435,Tabell2[[#This Row],[Befvekst10]]))</f>
        <v>-1.3962445835339454E-2</v>
      </c>
      <c r="O225" s="34">
        <f>IF(Tabell2[[#This Row],[Kvinneandel]]&lt;=F$434,F$434,IF(Tabell2[[#This Row],[Kvinneandel]]&gt;=F$435,F$435,Tabell2[[#This Row],[Kvinneandel]]))</f>
        <v>0.113037109375</v>
      </c>
      <c r="P225" s="34">
        <f>IF(Tabell2[[#This Row],[Eldreandel]]&lt;=G$434,G$434,IF(Tabell2[[#This Row],[Eldreandel]]&gt;=G$435,G$435,Tabell2[[#This Row],[Eldreandel]]))</f>
        <v>0.200439453125</v>
      </c>
      <c r="Q225" s="34">
        <f>IF(Tabell2[[#This Row],[Sysselsettingsvekst10]]&lt;=H$434,H$434,IF(Tabell2[[#This Row],[Sysselsettingsvekst10]]&gt;=H$435,H$435,Tabell2[[#This Row],[Sysselsettingsvekst10]]))</f>
        <v>-6.9733479337269061E-2</v>
      </c>
      <c r="R225" s="34">
        <f>IF(Tabell2[[#This Row],[Yrkesaktivandel]]&lt;=I$434,I$434,IF(Tabell2[[#This Row],[Yrkesaktivandel]]&gt;=I$435,I$435,Tabell2[[#This Row],[Yrkesaktivandel]]))</f>
        <v>0.85518157661647476</v>
      </c>
      <c r="S225" s="22">
        <f>IF(Tabell2[[#This Row],[Inntekt]]&lt;=J$434,J$434,IF(Tabell2[[#This Row],[Inntekt]]&gt;=J$435,J$435,Tabell2[[#This Row],[Inntekt]]))</f>
        <v>350700</v>
      </c>
      <c r="T225" s="22">
        <f>IF(Tabell2[[#This Row],[NIBR11-T]]&lt;=K$437,100,IF(Tabell2[[#This Row],[NIBR11-T]]&gt;=K$436,0,100*(K$436-Tabell2[[#This Row],[NIBR11-T]])/K$439))</f>
        <v>100</v>
      </c>
      <c r="U225" s="7">
        <f>IF(Tabell2[[#This Row],[ReisetidOslo-T]]&lt;=L$437,100,IF(Tabell2[[#This Row],[ReisetidOslo-T]]&gt;=L$436,0,100*(L$436-Tabell2[[#This Row],[ReisetidOslo-T]])/L$439))</f>
        <v>33.063254113352379</v>
      </c>
      <c r="V225" s="7">
        <f>100-(M$436-Tabell2[[#This Row],[Beftettotal-T]])*100/M$439</f>
        <v>3.4007535865940923</v>
      </c>
      <c r="W225" s="7">
        <f>100-(N$436-Tabell2[[#This Row],[Befvekst10-T]])*100/N$439</f>
        <v>25.057566775443775</v>
      </c>
      <c r="X225" s="7">
        <f>100-(O$436-Tabell2[[#This Row],[Kvinneandel-T]])*100/O$439</f>
        <v>59.579797777393054</v>
      </c>
      <c r="Y225" s="7">
        <f>(P$436-Tabell2[[#This Row],[Eldreandel-T]])*100/P$439</f>
        <v>15.280781164726534</v>
      </c>
      <c r="Z225" s="7">
        <f>100-(Q$436-Tabell2[[#This Row],[Sysselsettingsvekst10-T]])*100/Q$439</f>
        <v>0</v>
      </c>
      <c r="AA225" s="7">
        <f>100-(R$436-Tabell2[[#This Row],[Yrkesaktivandel-T]])*100/R$439</f>
        <v>17.842938976673494</v>
      </c>
      <c r="AB225" s="7">
        <f>100-(S$436-Tabell2[[#This Row],[Inntekt-T]])*100/S$439</f>
        <v>22.126770373810075</v>
      </c>
      <c r="AC225" s="55">
        <f>Tabell2[[#This Row],[NIBR11-I]]*Vekter!$B$3</f>
        <v>20</v>
      </c>
      <c r="AD225" s="55">
        <f>Tabell2[[#This Row],[ReisetidOslo-I]]*Vekter!$C$3</f>
        <v>3.3063254113352381</v>
      </c>
      <c r="AE225" s="55">
        <f>Tabell2[[#This Row],[Beftettotal-I]]*Vekter!$D$3</f>
        <v>0.34007535865940924</v>
      </c>
      <c r="AF225" s="55">
        <f>Tabell2[[#This Row],[Befvekst10-I]]*Vekter!$E$3</f>
        <v>5.0115133550887556</v>
      </c>
      <c r="AG225" s="55">
        <f>Tabell2[[#This Row],[Kvinneandel-I]]*Vekter!$F$3</f>
        <v>2.9789898888696529</v>
      </c>
      <c r="AH225" s="55">
        <f>Tabell2[[#This Row],[Eldreandel-I]]*Vekter!$G$3</f>
        <v>0.76403905823632678</v>
      </c>
      <c r="AI225" s="55">
        <f>Tabell2[[#This Row],[Sysselsettingsvekst10-I]]*Vekter!$H$3</f>
        <v>0</v>
      </c>
      <c r="AJ225" s="55">
        <f>Tabell2[[#This Row],[Yrkesaktivandel-I]]*Vekter!$J$3</f>
        <v>1.7842938976673495</v>
      </c>
      <c r="AK225" s="55">
        <f>Tabell2[[#This Row],[Inntekt-I]]*Vekter!$L$3</f>
        <v>2.2126770373810074</v>
      </c>
      <c r="AL225" s="56">
        <f>SUM(Tabell2[[#This Row],[NIBR11-v]:[Inntekt-v]])</f>
        <v>36.397914007237731</v>
      </c>
    </row>
    <row r="226" spans="1:38" x14ac:dyDescent="0.25">
      <c r="A226" s="2" t="s">
        <v>223</v>
      </c>
      <c r="B226">
        <f>'Rådata-K'!M225</f>
        <v>5</v>
      </c>
      <c r="C226" s="7">
        <f>'Rådata-K'!L225</f>
        <v>229.6666666667</v>
      </c>
      <c r="D226" s="34">
        <f>'Rådata-K'!N225</f>
        <v>0.91749799752421168</v>
      </c>
      <c r="E226" s="34">
        <f>'Rådata-K'!O225</f>
        <v>4.7091412742382266E-2</v>
      </c>
      <c r="F226" s="34">
        <f>'Rådata-K'!P225</f>
        <v>0.10317460317460317</v>
      </c>
      <c r="G226" s="34">
        <f>'Rådata-K'!Q225</f>
        <v>0.14550264550264549</v>
      </c>
      <c r="H226" s="34">
        <f>'Rådata-K'!R225</f>
        <v>6.8807339449541205E-2</v>
      </c>
      <c r="I226" s="34">
        <f>'Rådata-K'!S225</f>
        <v>0.92957746478873238</v>
      </c>
      <c r="J226" s="22">
        <f>'Rådata-K'!K225</f>
        <v>376700</v>
      </c>
      <c r="K226" s="22">
        <f>Tabell2[[#This Row],[NIBR11]]</f>
        <v>5</v>
      </c>
      <c r="L226" s="32">
        <f>IF(Tabell2[[#This Row],[ReisetidOslo]]&lt;=C$434,C$434,IF(Tabell2[[#This Row],[ReisetidOslo]]&gt;=C$435,C$435,Tabell2[[#This Row],[ReisetidOslo]]))</f>
        <v>229.6666666667</v>
      </c>
      <c r="M226" s="32">
        <f>IF(Tabell2[[#This Row],[Beftettotal]]&lt;=D$434,D$434,IF(Tabell2[[#This Row],[Beftettotal]]&gt;=D$435,D$435,Tabell2[[#This Row],[Beftettotal]]))</f>
        <v>1.3297721240876861</v>
      </c>
      <c r="N226" s="34">
        <f>IF(Tabell2[[#This Row],[Befvekst10]]&lt;=E$434,E$434,IF(Tabell2[[#This Row],[Befvekst10]]&gt;=E$435,E$435,Tabell2[[#This Row],[Befvekst10]]))</f>
        <v>4.7091412742382266E-2</v>
      </c>
      <c r="O226" s="34">
        <f>IF(Tabell2[[#This Row],[Kvinneandel]]&lt;=F$434,F$434,IF(Tabell2[[#This Row],[Kvinneandel]]&gt;=F$435,F$435,Tabell2[[#This Row],[Kvinneandel]]))</f>
        <v>0.10317460317460317</v>
      </c>
      <c r="P226" s="34">
        <f>IF(Tabell2[[#This Row],[Eldreandel]]&lt;=G$434,G$434,IF(Tabell2[[#This Row],[Eldreandel]]&gt;=G$435,G$435,Tabell2[[#This Row],[Eldreandel]]))</f>
        <v>0.14550264550264549</v>
      </c>
      <c r="Q226" s="34">
        <f>IF(Tabell2[[#This Row],[Sysselsettingsvekst10]]&lt;=H$434,H$434,IF(Tabell2[[#This Row],[Sysselsettingsvekst10]]&gt;=H$435,H$435,Tabell2[[#This Row],[Sysselsettingsvekst10]]))</f>
        <v>6.8807339449541205E-2</v>
      </c>
      <c r="R226" s="34">
        <f>IF(Tabell2[[#This Row],[Yrkesaktivandel]]&lt;=I$434,I$434,IF(Tabell2[[#This Row],[Yrkesaktivandel]]&gt;=I$435,I$435,Tabell2[[#This Row],[Yrkesaktivandel]]))</f>
        <v>0.92957746478873238</v>
      </c>
      <c r="S226" s="22">
        <f>IF(Tabell2[[#This Row],[Inntekt]]&lt;=J$434,J$434,IF(Tabell2[[#This Row],[Inntekt]]&gt;=J$435,J$435,Tabell2[[#This Row],[Inntekt]]))</f>
        <v>376700</v>
      </c>
      <c r="T226" s="22">
        <f>IF(Tabell2[[#This Row],[NIBR11-T]]&lt;=K$437,100,IF(Tabell2[[#This Row],[NIBR11-T]]&gt;=K$436,0,100*(K$436-Tabell2[[#This Row],[NIBR11-T]])/K$439))</f>
        <v>60</v>
      </c>
      <c r="U226" s="7">
        <f>IF(Tabell2[[#This Row],[ReisetidOslo-T]]&lt;=L$437,100,IF(Tabell2[[#This Row],[ReisetidOslo-T]]&gt;=L$436,0,100*(L$436-Tabell2[[#This Row],[ReisetidOslo-T]])/L$439))</f>
        <v>22.284460694691688</v>
      </c>
      <c r="V226" s="7">
        <f>100-(M$436-Tabell2[[#This Row],[Beftettotal-T]])*100/M$439</f>
        <v>0</v>
      </c>
      <c r="W226" s="7">
        <f>100-(N$436-Tabell2[[#This Row],[Befvekst10-T]])*100/N$439</f>
        <v>49.640082014416301</v>
      </c>
      <c r="X226" s="7">
        <f>100-(O$436-Tabell2[[#This Row],[Kvinneandel-T]])*100/O$439</f>
        <v>33.518307901938769</v>
      </c>
      <c r="Y226" s="7">
        <f>(P$436-Tabell2[[#This Row],[Eldreandel-T]])*100/P$439</f>
        <v>75.47789460510549</v>
      </c>
      <c r="Z226" s="7">
        <f>100-(Q$436-Tabell2[[#This Row],[Sysselsettingsvekst10-T]])*100/Q$439</f>
        <v>41.221560556044636</v>
      </c>
      <c r="AA226" s="7">
        <f>100-(R$436-Tabell2[[#This Row],[Yrkesaktivandel-T]])*100/R$439</f>
        <v>75.04532353111712</v>
      </c>
      <c r="AB226" s="7">
        <f>100-(S$436-Tabell2[[#This Row],[Inntekt-T]])*100/S$439</f>
        <v>52.310192709542605</v>
      </c>
      <c r="AC226" s="55">
        <f>Tabell2[[#This Row],[NIBR11-I]]*Vekter!$B$3</f>
        <v>12</v>
      </c>
      <c r="AD226" s="55">
        <f>Tabell2[[#This Row],[ReisetidOslo-I]]*Vekter!$C$3</f>
        <v>2.228446069469169</v>
      </c>
      <c r="AE226" s="55">
        <f>Tabell2[[#This Row],[Beftettotal-I]]*Vekter!$D$3</f>
        <v>0</v>
      </c>
      <c r="AF226" s="55">
        <f>Tabell2[[#This Row],[Befvekst10-I]]*Vekter!$E$3</f>
        <v>9.9280164028832605</v>
      </c>
      <c r="AG226" s="55">
        <f>Tabell2[[#This Row],[Kvinneandel-I]]*Vekter!$F$3</f>
        <v>1.6759153950969385</v>
      </c>
      <c r="AH226" s="55">
        <f>Tabell2[[#This Row],[Eldreandel-I]]*Vekter!$G$3</f>
        <v>3.7738947302552748</v>
      </c>
      <c r="AI226" s="55">
        <f>Tabell2[[#This Row],[Sysselsettingsvekst10-I]]*Vekter!$H$3</f>
        <v>4.1221560556044636</v>
      </c>
      <c r="AJ226" s="55">
        <f>Tabell2[[#This Row],[Yrkesaktivandel-I]]*Vekter!$J$3</f>
        <v>7.5045323531117125</v>
      </c>
      <c r="AK226" s="55">
        <f>Tabell2[[#This Row],[Inntekt-I]]*Vekter!$L$3</f>
        <v>5.2310192709542607</v>
      </c>
      <c r="AL226" s="56">
        <f>SUM(Tabell2[[#This Row],[NIBR11-v]:[Inntekt-v]])</f>
        <v>46.463980277375086</v>
      </c>
    </row>
    <row r="227" spans="1:38" x14ac:dyDescent="0.25">
      <c r="A227" s="2" t="s">
        <v>224</v>
      </c>
      <c r="B227">
        <f>'Rådata-K'!M226</f>
        <v>1</v>
      </c>
      <c r="C227" s="7">
        <f>'Rådata-K'!L226</f>
        <v>189.5</v>
      </c>
      <c r="D227" s="34">
        <f>'Rådata-K'!N226</f>
        <v>30.738476011288803</v>
      </c>
      <c r="E227" s="34">
        <f>'Rådata-K'!O226</f>
        <v>8.8108783127514911E-2</v>
      </c>
      <c r="F227" s="34">
        <f>'Rådata-K'!P226</f>
        <v>0.11782708492731446</v>
      </c>
      <c r="G227" s="34">
        <f>'Rådata-K'!Q226</f>
        <v>0.14894159653149708</v>
      </c>
      <c r="H227" s="34">
        <f>'Rådata-K'!R226</f>
        <v>0.11920808761583834</v>
      </c>
      <c r="I227" s="34">
        <f>'Rådata-K'!S226</f>
        <v>0.92072195567740467</v>
      </c>
      <c r="J227" s="22">
        <f>'Rådata-K'!K226</f>
        <v>373700</v>
      </c>
      <c r="K227" s="22">
        <f>Tabell2[[#This Row],[NIBR11]]</f>
        <v>1</v>
      </c>
      <c r="L227" s="32">
        <f>IF(Tabell2[[#This Row],[ReisetidOslo]]&lt;=C$434,C$434,IF(Tabell2[[#This Row],[ReisetidOslo]]&gt;=C$435,C$435,Tabell2[[#This Row],[ReisetidOslo]]))</f>
        <v>189.5</v>
      </c>
      <c r="M227" s="32">
        <f>IF(Tabell2[[#This Row],[Beftettotal]]&lt;=D$434,D$434,IF(Tabell2[[#This Row],[Beftettotal]]&gt;=D$435,D$435,Tabell2[[#This Row],[Beftettotal]]))</f>
        <v>30.738476011288803</v>
      </c>
      <c r="N227" s="34">
        <f>IF(Tabell2[[#This Row],[Befvekst10]]&lt;=E$434,E$434,IF(Tabell2[[#This Row],[Befvekst10]]&gt;=E$435,E$435,Tabell2[[#This Row],[Befvekst10]]))</f>
        <v>8.8108783127514911E-2</v>
      </c>
      <c r="O227" s="34">
        <f>IF(Tabell2[[#This Row],[Kvinneandel]]&lt;=F$434,F$434,IF(Tabell2[[#This Row],[Kvinneandel]]&gt;=F$435,F$435,Tabell2[[#This Row],[Kvinneandel]]))</f>
        <v>0.11782708492731446</v>
      </c>
      <c r="P227" s="34">
        <f>IF(Tabell2[[#This Row],[Eldreandel]]&lt;=G$434,G$434,IF(Tabell2[[#This Row],[Eldreandel]]&gt;=G$435,G$435,Tabell2[[#This Row],[Eldreandel]]))</f>
        <v>0.14894159653149708</v>
      </c>
      <c r="Q227" s="34">
        <f>IF(Tabell2[[#This Row],[Sysselsettingsvekst10]]&lt;=H$434,H$434,IF(Tabell2[[#This Row],[Sysselsettingsvekst10]]&gt;=H$435,H$435,Tabell2[[#This Row],[Sysselsettingsvekst10]]))</f>
        <v>0.11920808761583834</v>
      </c>
      <c r="R227" s="34">
        <f>IF(Tabell2[[#This Row],[Yrkesaktivandel]]&lt;=I$434,I$434,IF(Tabell2[[#This Row],[Yrkesaktivandel]]&gt;=I$435,I$435,Tabell2[[#This Row],[Yrkesaktivandel]]))</f>
        <v>0.92072195567740467</v>
      </c>
      <c r="S227" s="22">
        <f>IF(Tabell2[[#This Row],[Inntekt]]&lt;=J$434,J$434,IF(Tabell2[[#This Row],[Inntekt]]&gt;=J$435,J$435,Tabell2[[#This Row],[Inntekt]]))</f>
        <v>373700</v>
      </c>
      <c r="T227" s="22">
        <f>IF(Tabell2[[#This Row],[NIBR11-T]]&lt;=K$437,100,IF(Tabell2[[#This Row],[NIBR11-T]]&gt;=K$436,0,100*(K$436-Tabell2[[#This Row],[NIBR11-T]])/K$439))</f>
        <v>100</v>
      </c>
      <c r="U227" s="7">
        <f>IF(Tabell2[[#This Row],[ReisetidOslo-T]]&lt;=L$437,100,IF(Tabell2[[#This Row],[ReisetidOslo-T]]&gt;=L$436,0,100*(L$436-Tabell2[[#This Row],[ReisetidOslo-T]])/L$439))</f>
        <v>39.907861060335222</v>
      </c>
      <c r="V227" s="7">
        <f>100-(M$436-Tabell2[[#This Row],[Beftettotal-T]])*100/M$439</f>
        <v>22.749713994450488</v>
      </c>
      <c r="W227" s="7">
        <f>100-(N$436-Tabell2[[#This Row],[Befvekst10-T]])*100/N$439</f>
        <v>66.155174689050796</v>
      </c>
      <c r="X227" s="7">
        <f>100-(O$436-Tabell2[[#This Row],[Kvinneandel-T]])*100/O$439</f>
        <v>72.237219412807988</v>
      </c>
      <c r="Y227" s="7">
        <f>(P$436-Tabell2[[#This Row],[Eldreandel-T]])*100/P$439</f>
        <v>71.709657349261576</v>
      </c>
      <c r="Z227" s="7">
        <f>100-(Q$436-Tabell2[[#This Row],[Sysselsettingsvekst10-T]])*100/Q$439</f>
        <v>56.217844761669454</v>
      </c>
      <c r="AA227" s="7">
        <f>100-(R$436-Tabell2[[#This Row],[Yrkesaktivandel-T]])*100/R$439</f>
        <v>68.236395644690688</v>
      </c>
      <c r="AB227" s="7">
        <f>100-(S$436-Tabell2[[#This Row],[Inntekt-T]])*100/S$439</f>
        <v>48.827490132342696</v>
      </c>
      <c r="AC227" s="55">
        <f>Tabell2[[#This Row],[NIBR11-I]]*Vekter!$B$3</f>
        <v>20</v>
      </c>
      <c r="AD227" s="55">
        <f>Tabell2[[#This Row],[ReisetidOslo-I]]*Vekter!$C$3</f>
        <v>3.9907861060335224</v>
      </c>
      <c r="AE227" s="55">
        <f>Tabell2[[#This Row],[Beftettotal-I]]*Vekter!$D$3</f>
        <v>2.2749713994450489</v>
      </c>
      <c r="AF227" s="55">
        <f>Tabell2[[#This Row],[Befvekst10-I]]*Vekter!$E$3</f>
        <v>13.231034937810159</v>
      </c>
      <c r="AG227" s="55">
        <f>Tabell2[[#This Row],[Kvinneandel-I]]*Vekter!$F$3</f>
        <v>3.6118609706403997</v>
      </c>
      <c r="AH227" s="55">
        <f>Tabell2[[#This Row],[Eldreandel-I]]*Vekter!$G$3</f>
        <v>3.585482867463079</v>
      </c>
      <c r="AI227" s="55">
        <f>Tabell2[[#This Row],[Sysselsettingsvekst10-I]]*Vekter!$H$3</f>
        <v>5.6217844761669458</v>
      </c>
      <c r="AJ227" s="55">
        <f>Tabell2[[#This Row],[Yrkesaktivandel-I]]*Vekter!$J$3</f>
        <v>6.8236395644690688</v>
      </c>
      <c r="AK227" s="55">
        <f>Tabell2[[#This Row],[Inntekt-I]]*Vekter!$L$3</f>
        <v>4.8827490132342701</v>
      </c>
      <c r="AL227" s="56">
        <f>SUM(Tabell2[[#This Row],[NIBR11-v]:[Inntekt-v]])</f>
        <v>64.022309335262491</v>
      </c>
    </row>
    <row r="228" spans="1:38" x14ac:dyDescent="0.25">
      <c r="A228" s="2" t="s">
        <v>225</v>
      </c>
      <c r="B228">
        <f>'Rådata-K'!M227</f>
        <v>1</v>
      </c>
      <c r="C228" s="7">
        <f>'Rådata-K'!L227</f>
        <v>187.88333333330002</v>
      </c>
      <c r="D228" s="34">
        <f>'Rådata-K'!N227</f>
        <v>83.560164182328805</v>
      </c>
      <c r="E228" s="34">
        <f>'Rådata-K'!O227</f>
        <v>0.31991127793891838</v>
      </c>
      <c r="F228" s="34">
        <f>'Rådata-K'!P227</f>
        <v>0.13417786970010342</v>
      </c>
      <c r="G228" s="34">
        <f>'Rådata-K'!Q227</f>
        <v>0.10405894519131334</v>
      </c>
      <c r="H228" s="34">
        <f>'Rådata-K'!R227</f>
        <v>0.29141835518474379</v>
      </c>
      <c r="I228" s="34">
        <f>'Rådata-K'!S227</f>
        <v>0.90072039621791988</v>
      </c>
      <c r="J228" s="22">
        <f>'Rådata-K'!K227</f>
        <v>405000</v>
      </c>
      <c r="K228" s="22">
        <f>Tabell2[[#This Row],[NIBR11]]</f>
        <v>1</v>
      </c>
      <c r="L228" s="32">
        <f>IF(Tabell2[[#This Row],[ReisetidOslo]]&lt;=C$434,C$434,IF(Tabell2[[#This Row],[ReisetidOslo]]&gt;=C$435,C$435,Tabell2[[#This Row],[ReisetidOslo]]))</f>
        <v>187.88333333330002</v>
      </c>
      <c r="M228" s="32">
        <f>IF(Tabell2[[#This Row],[Beftettotal]]&lt;=D$434,D$434,IF(Tabell2[[#This Row],[Beftettotal]]&gt;=D$435,D$435,Tabell2[[#This Row],[Beftettotal]]))</f>
        <v>83.560164182328805</v>
      </c>
      <c r="N228" s="34">
        <f>IF(Tabell2[[#This Row],[Befvekst10]]&lt;=E$434,E$434,IF(Tabell2[[#This Row],[Befvekst10]]&gt;=E$435,E$435,Tabell2[[#This Row],[Befvekst10]]))</f>
        <v>0.17216678769030419</v>
      </c>
      <c r="O228" s="34">
        <f>IF(Tabell2[[#This Row],[Kvinneandel]]&lt;=F$434,F$434,IF(Tabell2[[#This Row],[Kvinneandel]]&gt;=F$435,F$435,Tabell2[[#This Row],[Kvinneandel]]))</f>
        <v>0.12833341426573511</v>
      </c>
      <c r="P228" s="34">
        <f>IF(Tabell2[[#This Row],[Eldreandel]]&lt;=G$434,G$434,IF(Tabell2[[#This Row],[Eldreandel]]&gt;=G$435,G$435,Tabell2[[#This Row],[Eldreandel]]))</f>
        <v>0.12312339657223466</v>
      </c>
      <c r="Q228" s="34">
        <f>IF(Tabell2[[#This Row],[Sysselsettingsvekst10]]&lt;=H$434,H$434,IF(Tabell2[[#This Row],[Sysselsettingsvekst10]]&gt;=H$435,H$435,Tabell2[[#This Row],[Sysselsettingsvekst10]]))</f>
        <v>0.26635476409167841</v>
      </c>
      <c r="R228" s="34">
        <f>IF(Tabell2[[#This Row],[Yrkesaktivandel]]&lt;=I$434,I$434,IF(Tabell2[[#This Row],[Yrkesaktivandel]]&gt;=I$435,I$435,Tabell2[[#This Row],[Yrkesaktivandel]]))</f>
        <v>0.90072039621791988</v>
      </c>
      <c r="S228" s="22">
        <f>IF(Tabell2[[#This Row],[Inntekt]]&lt;=J$434,J$434,IF(Tabell2[[#This Row],[Inntekt]]&gt;=J$435,J$435,Tabell2[[#This Row],[Inntekt]]))</f>
        <v>405000</v>
      </c>
      <c r="T228" s="22">
        <f>IF(Tabell2[[#This Row],[NIBR11-T]]&lt;=K$437,100,IF(Tabell2[[#This Row],[NIBR11-T]]&gt;=K$436,0,100*(K$436-Tabell2[[#This Row],[NIBR11-T]])/K$439))</f>
        <v>100</v>
      </c>
      <c r="U228" s="7">
        <f>IF(Tabell2[[#This Row],[ReisetidOslo-T]]&lt;=L$437,100,IF(Tabell2[[#This Row],[ReisetidOslo-T]]&gt;=L$436,0,100*(L$436-Tabell2[[#This Row],[ReisetidOslo-T]])/L$439))</f>
        <v>40.617184643530756</v>
      </c>
      <c r="V228" s="7">
        <f>100-(M$436-Tabell2[[#This Row],[Beftettotal-T]])*100/M$439</f>
        <v>63.61102849522954</v>
      </c>
      <c r="W228" s="7">
        <f>100-(N$436-Tabell2[[#This Row],[Befvekst10-T]])*100/N$439</f>
        <v>100</v>
      </c>
      <c r="X228" s="7">
        <f>100-(O$436-Tabell2[[#This Row],[Kvinneandel-T]])*100/O$439</f>
        <v>100</v>
      </c>
      <c r="Y228" s="7">
        <f>(P$436-Tabell2[[#This Row],[Eldreandel-T]])*100/P$439</f>
        <v>100</v>
      </c>
      <c r="Z228" s="7">
        <f>100-(Q$436-Tabell2[[#This Row],[Sysselsettingsvekst10-T]])*100/Q$439</f>
        <v>100</v>
      </c>
      <c r="AA228" s="7">
        <f>100-(R$436-Tabell2[[#This Row],[Yrkesaktivandel-T]])*100/R$439</f>
        <v>52.857361614733783</v>
      </c>
      <c r="AB228" s="7">
        <f>100-(S$436-Tabell2[[#This Row],[Inntekt-T]])*100/S$439</f>
        <v>85.163687021128396</v>
      </c>
      <c r="AC228" s="55">
        <f>Tabell2[[#This Row],[NIBR11-I]]*Vekter!$B$3</f>
        <v>20</v>
      </c>
      <c r="AD228" s="55">
        <f>Tabell2[[#This Row],[ReisetidOslo-I]]*Vekter!$C$3</f>
        <v>4.0617184643530759</v>
      </c>
      <c r="AE228" s="55">
        <f>Tabell2[[#This Row],[Beftettotal-I]]*Vekter!$D$3</f>
        <v>6.361102849522954</v>
      </c>
      <c r="AF228" s="55">
        <f>Tabell2[[#This Row],[Befvekst10-I]]*Vekter!$E$3</f>
        <v>20</v>
      </c>
      <c r="AG228" s="55">
        <f>Tabell2[[#This Row],[Kvinneandel-I]]*Vekter!$F$3</f>
        <v>5</v>
      </c>
      <c r="AH228" s="55">
        <f>Tabell2[[#This Row],[Eldreandel-I]]*Vekter!$G$3</f>
        <v>5</v>
      </c>
      <c r="AI228" s="55">
        <f>Tabell2[[#This Row],[Sysselsettingsvekst10-I]]*Vekter!$H$3</f>
        <v>10</v>
      </c>
      <c r="AJ228" s="55">
        <f>Tabell2[[#This Row],[Yrkesaktivandel-I]]*Vekter!$J$3</f>
        <v>5.2857361614733787</v>
      </c>
      <c r="AK228" s="55">
        <f>Tabell2[[#This Row],[Inntekt-I]]*Vekter!$L$3</f>
        <v>8.5163687021128407</v>
      </c>
      <c r="AL228" s="56">
        <f>SUM(Tabell2[[#This Row],[NIBR11-v]:[Inntekt-v]])</f>
        <v>84.224926177462251</v>
      </c>
    </row>
    <row r="229" spans="1:38" x14ac:dyDescent="0.25">
      <c r="A229" s="2" t="s">
        <v>226</v>
      </c>
      <c r="B229">
        <f>'Rådata-K'!M228</f>
        <v>1</v>
      </c>
      <c r="C229" s="7">
        <f>'Rådata-K'!L228</f>
        <v>201.9333333333</v>
      </c>
      <c r="D229" s="34">
        <f>'Rådata-K'!N228</f>
        <v>70.906367041198507</v>
      </c>
      <c r="E229" s="34">
        <f>'Rådata-K'!O228</f>
        <v>0.19069182389937112</v>
      </c>
      <c r="F229" s="34">
        <f>'Rådata-K'!P228</f>
        <v>0.12190999366152545</v>
      </c>
      <c r="G229" s="34">
        <f>'Rådata-K'!Q228</f>
        <v>0.13099514050285233</v>
      </c>
      <c r="H229" s="34">
        <f>'Rådata-K'!R228</f>
        <v>0.17812500000000009</v>
      </c>
      <c r="I229" s="34">
        <f>'Rådata-K'!S228</f>
        <v>0.85877160720853252</v>
      </c>
      <c r="J229" s="22">
        <f>'Rådata-K'!K228</f>
        <v>401800</v>
      </c>
      <c r="K229" s="22">
        <f>Tabell2[[#This Row],[NIBR11]]</f>
        <v>1</v>
      </c>
      <c r="L229" s="32">
        <f>IF(Tabell2[[#This Row],[ReisetidOslo]]&lt;=C$434,C$434,IF(Tabell2[[#This Row],[ReisetidOslo]]&gt;=C$435,C$435,Tabell2[[#This Row],[ReisetidOslo]]))</f>
        <v>201.9333333333</v>
      </c>
      <c r="M229" s="32">
        <f>IF(Tabell2[[#This Row],[Beftettotal]]&lt;=D$434,D$434,IF(Tabell2[[#This Row],[Beftettotal]]&gt;=D$435,D$435,Tabell2[[#This Row],[Beftettotal]]))</f>
        <v>70.906367041198507</v>
      </c>
      <c r="N229" s="34">
        <f>IF(Tabell2[[#This Row],[Befvekst10]]&lt;=E$434,E$434,IF(Tabell2[[#This Row],[Befvekst10]]&gt;=E$435,E$435,Tabell2[[#This Row],[Befvekst10]]))</f>
        <v>0.17216678769030419</v>
      </c>
      <c r="O229" s="34">
        <f>IF(Tabell2[[#This Row],[Kvinneandel]]&lt;=F$434,F$434,IF(Tabell2[[#This Row],[Kvinneandel]]&gt;=F$435,F$435,Tabell2[[#This Row],[Kvinneandel]]))</f>
        <v>0.12190999366152545</v>
      </c>
      <c r="P229" s="34">
        <f>IF(Tabell2[[#This Row],[Eldreandel]]&lt;=G$434,G$434,IF(Tabell2[[#This Row],[Eldreandel]]&gt;=G$435,G$435,Tabell2[[#This Row],[Eldreandel]]))</f>
        <v>0.13099514050285233</v>
      </c>
      <c r="Q229" s="34">
        <f>IF(Tabell2[[#This Row],[Sysselsettingsvekst10]]&lt;=H$434,H$434,IF(Tabell2[[#This Row],[Sysselsettingsvekst10]]&gt;=H$435,H$435,Tabell2[[#This Row],[Sysselsettingsvekst10]]))</f>
        <v>0.17812500000000009</v>
      </c>
      <c r="R229" s="34">
        <f>IF(Tabell2[[#This Row],[Yrkesaktivandel]]&lt;=I$434,I$434,IF(Tabell2[[#This Row],[Yrkesaktivandel]]&gt;=I$435,I$435,Tabell2[[#This Row],[Yrkesaktivandel]]))</f>
        <v>0.85877160720853252</v>
      </c>
      <c r="S229" s="22">
        <f>IF(Tabell2[[#This Row],[Inntekt]]&lt;=J$434,J$434,IF(Tabell2[[#This Row],[Inntekt]]&gt;=J$435,J$435,Tabell2[[#This Row],[Inntekt]]))</f>
        <v>401800</v>
      </c>
      <c r="T229" s="22">
        <f>IF(Tabell2[[#This Row],[NIBR11-T]]&lt;=K$437,100,IF(Tabell2[[#This Row],[NIBR11-T]]&gt;=K$436,0,100*(K$436-Tabell2[[#This Row],[NIBR11-T]])/K$439))</f>
        <v>100</v>
      </c>
      <c r="U229" s="7">
        <f>IF(Tabell2[[#This Row],[ReisetidOslo-T]]&lt;=L$437,100,IF(Tabell2[[#This Row],[ReisetidOslo-T]]&gt;=L$436,0,100*(L$436-Tabell2[[#This Row],[ReisetidOslo-T]])/L$439))</f>
        <v>34.452650822690444</v>
      </c>
      <c r="V229" s="7">
        <f>100-(M$436-Tabell2[[#This Row],[Beftettotal-T]])*100/M$439</f>
        <v>53.822420775261556</v>
      </c>
      <c r="W229" s="7">
        <f>100-(N$436-Tabell2[[#This Row],[Befvekst10-T]])*100/N$439</f>
        <v>100</v>
      </c>
      <c r="X229" s="7">
        <f>100-(O$436-Tabell2[[#This Row],[Kvinneandel-T]])*100/O$439</f>
        <v>83.026230083824075</v>
      </c>
      <c r="Y229" s="7">
        <f>(P$436-Tabell2[[#This Row],[Eldreandel-T]])*100/P$439</f>
        <v>91.374521329626958</v>
      </c>
      <c r="Z229" s="7">
        <f>100-(Q$436-Tabell2[[#This Row],[Sysselsettingsvekst10-T]])*100/Q$439</f>
        <v>73.748036173026378</v>
      </c>
      <c r="AA229" s="7">
        <f>100-(R$436-Tabell2[[#This Row],[Yrkesaktivandel-T]])*100/R$439</f>
        <v>20.60328387656385</v>
      </c>
      <c r="AB229" s="7">
        <f>100-(S$436-Tabell2[[#This Row],[Inntekt-T]])*100/S$439</f>
        <v>81.448804272115154</v>
      </c>
      <c r="AC229" s="55">
        <f>Tabell2[[#This Row],[NIBR11-I]]*Vekter!$B$3</f>
        <v>20</v>
      </c>
      <c r="AD229" s="55">
        <f>Tabell2[[#This Row],[ReisetidOslo-I]]*Vekter!$C$3</f>
        <v>3.4452650822690445</v>
      </c>
      <c r="AE229" s="55">
        <f>Tabell2[[#This Row],[Beftettotal-I]]*Vekter!$D$3</f>
        <v>5.3822420775261559</v>
      </c>
      <c r="AF229" s="55">
        <f>Tabell2[[#This Row],[Befvekst10-I]]*Vekter!$E$3</f>
        <v>20</v>
      </c>
      <c r="AG229" s="55">
        <f>Tabell2[[#This Row],[Kvinneandel-I]]*Vekter!$F$3</f>
        <v>4.1513115041912041</v>
      </c>
      <c r="AH229" s="55">
        <f>Tabell2[[#This Row],[Eldreandel-I]]*Vekter!$G$3</f>
        <v>4.5687260664813483</v>
      </c>
      <c r="AI229" s="55">
        <f>Tabell2[[#This Row],[Sysselsettingsvekst10-I]]*Vekter!$H$3</f>
        <v>7.3748036173026383</v>
      </c>
      <c r="AJ229" s="55">
        <f>Tabell2[[#This Row],[Yrkesaktivandel-I]]*Vekter!$J$3</f>
        <v>2.0603283876563849</v>
      </c>
      <c r="AK229" s="55">
        <f>Tabell2[[#This Row],[Inntekt-I]]*Vekter!$L$3</f>
        <v>8.1448804272115165</v>
      </c>
      <c r="AL229" s="56">
        <f>SUM(Tabell2[[#This Row],[NIBR11-v]:[Inntekt-v]])</f>
        <v>75.127557162638297</v>
      </c>
    </row>
    <row r="230" spans="1:38" x14ac:dyDescent="0.25">
      <c r="A230" s="2" t="s">
        <v>227</v>
      </c>
      <c r="B230">
        <f>'Rådata-K'!M229</f>
        <v>1</v>
      </c>
      <c r="C230" s="7">
        <f>'Rådata-K'!L229</f>
        <v>208.38333333330002</v>
      </c>
      <c r="D230" s="34">
        <f>'Rådata-K'!N229</f>
        <v>44.992821249102654</v>
      </c>
      <c r="E230" s="34">
        <f>'Rådata-K'!O229</f>
        <v>7.6890034364261117E-2</v>
      </c>
      <c r="F230" s="34">
        <f>'Rådata-K'!P229</f>
        <v>0.11208615875548464</v>
      </c>
      <c r="G230" s="34">
        <f>'Rådata-K'!Q229</f>
        <v>0.1509772636617471</v>
      </c>
      <c r="H230" s="34">
        <f>'Rådata-K'!R229</f>
        <v>1.3861386138613874E-2</v>
      </c>
      <c r="I230" s="34">
        <f>'Rådata-K'!S229</f>
        <v>0.88334504567814476</v>
      </c>
      <c r="J230" s="22">
        <f>'Rådata-K'!K229</f>
        <v>382700</v>
      </c>
      <c r="K230" s="22">
        <f>Tabell2[[#This Row],[NIBR11]]</f>
        <v>1</v>
      </c>
      <c r="L230" s="32">
        <f>IF(Tabell2[[#This Row],[ReisetidOslo]]&lt;=C$434,C$434,IF(Tabell2[[#This Row],[ReisetidOslo]]&gt;=C$435,C$435,Tabell2[[#This Row],[ReisetidOslo]]))</f>
        <v>208.38333333330002</v>
      </c>
      <c r="M230" s="32">
        <f>IF(Tabell2[[#This Row],[Beftettotal]]&lt;=D$434,D$434,IF(Tabell2[[#This Row],[Beftettotal]]&gt;=D$435,D$435,Tabell2[[#This Row],[Beftettotal]]))</f>
        <v>44.992821249102654</v>
      </c>
      <c r="N230" s="34">
        <f>IF(Tabell2[[#This Row],[Befvekst10]]&lt;=E$434,E$434,IF(Tabell2[[#This Row],[Befvekst10]]&gt;=E$435,E$435,Tabell2[[#This Row],[Befvekst10]]))</f>
        <v>7.6890034364261117E-2</v>
      </c>
      <c r="O230" s="34">
        <f>IF(Tabell2[[#This Row],[Kvinneandel]]&lt;=F$434,F$434,IF(Tabell2[[#This Row],[Kvinneandel]]&gt;=F$435,F$435,Tabell2[[#This Row],[Kvinneandel]]))</f>
        <v>0.11208615875548464</v>
      </c>
      <c r="P230" s="34">
        <f>IF(Tabell2[[#This Row],[Eldreandel]]&lt;=G$434,G$434,IF(Tabell2[[#This Row],[Eldreandel]]&gt;=G$435,G$435,Tabell2[[#This Row],[Eldreandel]]))</f>
        <v>0.1509772636617471</v>
      </c>
      <c r="Q230" s="34">
        <f>IF(Tabell2[[#This Row],[Sysselsettingsvekst10]]&lt;=H$434,H$434,IF(Tabell2[[#This Row],[Sysselsettingsvekst10]]&gt;=H$435,H$435,Tabell2[[#This Row],[Sysselsettingsvekst10]]))</f>
        <v>1.3861386138613874E-2</v>
      </c>
      <c r="R230" s="34">
        <f>IF(Tabell2[[#This Row],[Yrkesaktivandel]]&lt;=I$434,I$434,IF(Tabell2[[#This Row],[Yrkesaktivandel]]&gt;=I$435,I$435,Tabell2[[#This Row],[Yrkesaktivandel]]))</f>
        <v>0.88334504567814476</v>
      </c>
      <c r="S230" s="22">
        <f>IF(Tabell2[[#This Row],[Inntekt]]&lt;=J$434,J$434,IF(Tabell2[[#This Row],[Inntekt]]&gt;=J$435,J$435,Tabell2[[#This Row],[Inntekt]]))</f>
        <v>382700</v>
      </c>
      <c r="T230" s="22">
        <f>IF(Tabell2[[#This Row],[NIBR11-T]]&lt;=K$437,100,IF(Tabell2[[#This Row],[NIBR11-T]]&gt;=K$436,0,100*(K$436-Tabell2[[#This Row],[NIBR11-T]])/K$439))</f>
        <v>100</v>
      </c>
      <c r="U230" s="7">
        <f>IF(Tabell2[[#This Row],[ReisetidOslo-T]]&lt;=L$437,100,IF(Tabell2[[#This Row],[ReisetidOslo-T]]&gt;=L$436,0,100*(L$436-Tabell2[[#This Row],[ReisetidOslo-T]])/L$439))</f>
        <v>31.622669104226375</v>
      </c>
      <c r="V230" s="7">
        <f>100-(M$436-Tabell2[[#This Row],[Beftettotal-T]])*100/M$439</f>
        <v>33.776458953433618</v>
      </c>
      <c r="W230" s="7">
        <f>100-(N$436-Tabell2[[#This Row],[Befvekst10-T]])*100/N$439</f>
        <v>61.638096344464032</v>
      </c>
      <c r="X230" s="7">
        <f>100-(O$436-Tabell2[[#This Row],[Kvinneandel-T]])*100/O$439</f>
        <v>57.066928387099594</v>
      </c>
      <c r="Y230" s="7">
        <f>(P$436-Tabell2[[#This Row],[Eldreandel-T]])*100/P$439</f>
        <v>69.479071145402003</v>
      </c>
      <c r="Z230" s="7">
        <f>100-(Q$436-Tabell2[[#This Row],[Sysselsettingsvekst10-T]])*100/Q$439</f>
        <v>24.872891899759594</v>
      </c>
      <c r="AA230" s="7">
        <f>100-(R$436-Tabell2[[#This Row],[Yrkesaktivandel-T]])*100/R$439</f>
        <v>39.497597953559996</v>
      </c>
      <c r="AB230" s="7">
        <f>100-(S$436-Tabell2[[#This Row],[Inntekt-T]])*100/S$439</f>
        <v>59.275597863942423</v>
      </c>
      <c r="AC230" s="55">
        <f>Tabell2[[#This Row],[NIBR11-I]]*Vekter!$B$3</f>
        <v>20</v>
      </c>
      <c r="AD230" s="55">
        <f>Tabell2[[#This Row],[ReisetidOslo-I]]*Vekter!$C$3</f>
        <v>3.1622669104226375</v>
      </c>
      <c r="AE230" s="55">
        <f>Tabell2[[#This Row],[Beftettotal-I]]*Vekter!$D$3</f>
        <v>3.3776458953433619</v>
      </c>
      <c r="AF230" s="55">
        <f>Tabell2[[#This Row],[Befvekst10-I]]*Vekter!$E$3</f>
        <v>12.327619268892807</v>
      </c>
      <c r="AG230" s="55">
        <f>Tabell2[[#This Row],[Kvinneandel-I]]*Vekter!$F$3</f>
        <v>2.8533464193549798</v>
      </c>
      <c r="AH230" s="55">
        <f>Tabell2[[#This Row],[Eldreandel-I]]*Vekter!$G$3</f>
        <v>3.4739535572701001</v>
      </c>
      <c r="AI230" s="55">
        <f>Tabell2[[#This Row],[Sysselsettingsvekst10-I]]*Vekter!$H$3</f>
        <v>2.4872891899759595</v>
      </c>
      <c r="AJ230" s="55">
        <f>Tabell2[[#This Row],[Yrkesaktivandel-I]]*Vekter!$J$3</f>
        <v>3.949759795356</v>
      </c>
      <c r="AK230" s="55">
        <f>Tabell2[[#This Row],[Inntekt-I]]*Vekter!$L$3</f>
        <v>5.9275597863942426</v>
      </c>
      <c r="AL230" s="56">
        <f>SUM(Tabell2[[#This Row],[NIBR11-v]:[Inntekt-v]])</f>
        <v>57.559440823010092</v>
      </c>
    </row>
    <row r="231" spans="1:38" x14ac:dyDescent="0.25">
      <c r="A231" s="2" t="s">
        <v>228</v>
      </c>
      <c r="B231">
        <f>'Rådata-K'!M230</f>
        <v>1</v>
      </c>
      <c r="C231" s="7">
        <f>'Rådata-K'!L230</f>
        <v>188.7</v>
      </c>
      <c r="D231" s="34">
        <f>'Rådata-K'!N230</f>
        <v>32.42594580938546</v>
      </c>
      <c r="E231" s="34">
        <f>'Rådata-K'!O230</f>
        <v>0.18086329832093839</v>
      </c>
      <c r="F231" s="34">
        <f>'Rådata-K'!P230</f>
        <v>0.122062069861057</v>
      </c>
      <c r="G231" s="34">
        <f>'Rådata-K'!Q230</f>
        <v>0.13621607583430723</v>
      </c>
      <c r="H231" s="34">
        <f>'Rådata-K'!R230</f>
        <v>0.21180246033160999</v>
      </c>
      <c r="I231" s="34">
        <f>'Rådata-K'!S230</f>
        <v>0.89912683823529416</v>
      </c>
      <c r="J231" s="22">
        <f>'Rådata-K'!K230</f>
        <v>414800</v>
      </c>
      <c r="K231" s="22">
        <f>Tabell2[[#This Row],[NIBR11]]</f>
        <v>1</v>
      </c>
      <c r="L231" s="32">
        <f>IF(Tabell2[[#This Row],[ReisetidOslo]]&lt;=C$434,C$434,IF(Tabell2[[#This Row],[ReisetidOslo]]&gt;=C$435,C$435,Tabell2[[#This Row],[ReisetidOslo]]))</f>
        <v>188.7</v>
      </c>
      <c r="M231" s="32">
        <f>IF(Tabell2[[#This Row],[Beftettotal]]&lt;=D$434,D$434,IF(Tabell2[[#This Row],[Beftettotal]]&gt;=D$435,D$435,Tabell2[[#This Row],[Beftettotal]]))</f>
        <v>32.42594580938546</v>
      </c>
      <c r="N231" s="34">
        <f>IF(Tabell2[[#This Row],[Befvekst10]]&lt;=E$434,E$434,IF(Tabell2[[#This Row],[Befvekst10]]&gt;=E$435,E$435,Tabell2[[#This Row],[Befvekst10]]))</f>
        <v>0.17216678769030419</v>
      </c>
      <c r="O231" s="34">
        <f>IF(Tabell2[[#This Row],[Kvinneandel]]&lt;=F$434,F$434,IF(Tabell2[[#This Row],[Kvinneandel]]&gt;=F$435,F$435,Tabell2[[#This Row],[Kvinneandel]]))</f>
        <v>0.122062069861057</v>
      </c>
      <c r="P231" s="34">
        <f>IF(Tabell2[[#This Row],[Eldreandel]]&lt;=G$434,G$434,IF(Tabell2[[#This Row],[Eldreandel]]&gt;=G$435,G$435,Tabell2[[#This Row],[Eldreandel]]))</f>
        <v>0.13621607583430723</v>
      </c>
      <c r="Q231" s="34">
        <f>IF(Tabell2[[#This Row],[Sysselsettingsvekst10]]&lt;=H$434,H$434,IF(Tabell2[[#This Row],[Sysselsettingsvekst10]]&gt;=H$435,H$435,Tabell2[[#This Row],[Sysselsettingsvekst10]]))</f>
        <v>0.21180246033160999</v>
      </c>
      <c r="R231" s="34">
        <f>IF(Tabell2[[#This Row],[Yrkesaktivandel]]&lt;=I$434,I$434,IF(Tabell2[[#This Row],[Yrkesaktivandel]]&gt;=I$435,I$435,Tabell2[[#This Row],[Yrkesaktivandel]]))</f>
        <v>0.89912683823529416</v>
      </c>
      <c r="S231" s="22">
        <f>IF(Tabell2[[#This Row],[Inntekt]]&lt;=J$434,J$434,IF(Tabell2[[#This Row],[Inntekt]]&gt;=J$435,J$435,Tabell2[[#This Row],[Inntekt]]))</f>
        <v>414800</v>
      </c>
      <c r="T231" s="22">
        <f>IF(Tabell2[[#This Row],[NIBR11-T]]&lt;=K$437,100,IF(Tabell2[[#This Row],[NIBR11-T]]&gt;=K$436,0,100*(K$436-Tabell2[[#This Row],[NIBR11-T]])/K$439))</f>
        <v>100</v>
      </c>
      <c r="U231" s="7">
        <f>IF(Tabell2[[#This Row],[ReisetidOslo-T]]&lt;=L$437,100,IF(Tabell2[[#This Row],[ReisetidOslo-T]]&gt;=L$436,0,100*(L$436-Tabell2[[#This Row],[ReisetidOslo-T]])/L$439))</f>
        <v>40.258866544795879</v>
      </c>
      <c r="V231" s="7">
        <f>100-(M$436-Tabell2[[#This Row],[Beftettotal-T]])*100/M$439</f>
        <v>24.055091321796056</v>
      </c>
      <c r="W231" s="7">
        <f>100-(N$436-Tabell2[[#This Row],[Befvekst10-T]])*100/N$439</f>
        <v>100</v>
      </c>
      <c r="X231" s="7">
        <f>100-(O$436-Tabell2[[#This Row],[Kvinneandel-T]])*100/O$439</f>
        <v>83.428088623008506</v>
      </c>
      <c r="Y231" s="7">
        <f>(P$436-Tabell2[[#This Row],[Eldreandel-T]])*100/P$439</f>
        <v>85.653671320050009</v>
      </c>
      <c r="Z231" s="7">
        <f>100-(Q$436-Tabell2[[#This Row],[Sysselsettingsvekst10-T]])*100/Q$439</f>
        <v>83.768458187201858</v>
      </c>
      <c r="AA231" s="7">
        <f>100-(R$436-Tabell2[[#This Row],[Yrkesaktivandel-T]])*100/R$439</f>
        <v>51.632088030783855</v>
      </c>
      <c r="AB231" s="7">
        <f>100-(S$436-Tabell2[[#This Row],[Inntekt-T]])*100/S$439</f>
        <v>96.540515439981419</v>
      </c>
      <c r="AC231" s="55">
        <f>Tabell2[[#This Row],[NIBR11-I]]*Vekter!$B$3</f>
        <v>20</v>
      </c>
      <c r="AD231" s="55">
        <f>Tabell2[[#This Row],[ReisetidOslo-I]]*Vekter!$C$3</f>
        <v>4.0258866544795877</v>
      </c>
      <c r="AE231" s="55">
        <f>Tabell2[[#This Row],[Beftettotal-I]]*Vekter!$D$3</f>
        <v>2.4055091321796058</v>
      </c>
      <c r="AF231" s="55">
        <f>Tabell2[[#This Row],[Befvekst10-I]]*Vekter!$E$3</f>
        <v>20</v>
      </c>
      <c r="AG231" s="55">
        <f>Tabell2[[#This Row],[Kvinneandel-I]]*Vekter!$F$3</f>
        <v>4.1714044311504255</v>
      </c>
      <c r="AH231" s="55">
        <f>Tabell2[[#This Row],[Eldreandel-I]]*Vekter!$G$3</f>
        <v>4.2826835660025004</v>
      </c>
      <c r="AI231" s="55">
        <f>Tabell2[[#This Row],[Sysselsettingsvekst10-I]]*Vekter!$H$3</f>
        <v>8.3768458187201862</v>
      </c>
      <c r="AJ231" s="55">
        <f>Tabell2[[#This Row],[Yrkesaktivandel-I]]*Vekter!$J$3</f>
        <v>5.163208803078386</v>
      </c>
      <c r="AK231" s="55">
        <f>Tabell2[[#This Row],[Inntekt-I]]*Vekter!$L$3</f>
        <v>9.6540515439981434</v>
      </c>
      <c r="AL231" s="56">
        <f>SUM(Tabell2[[#This Row],[NIBR11-v]:[Inntekt-v]])</f>
        <v>78.079589949608845</v>
      </c>
    </row>
    <row r="232" spans="1:38" x14ac:dyDescent="0.25">
      <c r="A232" s="2" t="s">
        <v>229</v>
      </c>
      <c r="B232">
        <f>'Rådata-K'!M231</f>
        <v>1</v>
      </c>
      <c r="C232" s="7">
        <f>'Rådata-K'!L231</f>
        <v>221.4333333333</v>
      </c>
      <c r="D232" s="34">
        <f>'Rådata-K'!N231</f>
        <v>49.62641181581234</v>
      </c>
      <c r="E232" s="34">
        <f>'Rådata-K'!O231</f>
        <v>0.1301939058171746</v>
      </c>
      <c r="F232" s="34">
        <f>'Rådata-K'!P231</f>
        <v>0.11414565826330532</v>
      </c>
      <c r="G232" s="34">
        <f>'Rådata-K'!Q231</f>
        <v>0.16701680672268907</v>
      </c>
      <c r="H232" s="34">
        <f>'Rådata-K'!R231</f>
        <v>0.19280719280719283</v>
      </c>
      <c r="I232" s="34">
        <f>'Rådata-K'!S231</f>
        <v>0.92116697703289885</v>
      </c>
      <c r="J232" s="22">
        <f>'Rådata-K'!K231</f>
        <v>440000</v>
      </c>
      <c r="K232" s="22">
        <f>Tabell2[[#This Row],[NIBR11]]</f>
        <v>1</v>
      </c>
      <c r="L232" s="32">
        <f>IF(Tabell2[[#This Row],[ReisetidOslo]]&lt;=C$434,C$434,IF(Tabell2[[#This Row],[ReisetidOslo]]&gt;=C$435,C$435,Tabell2[[#This Row],[ReisetidOslo]]))</f>
        <v>221.4333333333</v>
      </c>
      <c r="M232" s="32">
        <f>IF(Tabell2[[#This Row],[Beftettotal]]&lt;=D$434,D$434,IF(Tabell2[[#This Row],[Beftettotal]]&gt;=D$435,D$435,Tabell2[[#This Row],[Beftettotal]]))</f>
        <v>49.62641181581234</v>
      </c>
      <c r="N232" s="34">
        <f>IF(Tabell2[[#This Row],[Befvekst10]]&lt;=E$434,E$434,IF(Tabell2[[#This Row],[Befvekst10]]&gt;=E$435,E$435,Tabell2[[#This Row],[Befvekst10]]))</f>
        <v>0.1301939058171746</v>
      </c>
      <c r="O232" s="34">
        <f>IF(Tabell2[[#This Row],[Kvinneandel]]&lt;=F$434,F$434,IF(Tabell2[[#This Row],[Kvinneandel]]&gt;=F$435,F$435,Tabell2[[#This Row],[Kvinneandel]]))</f>
        <v>0.11414565826330532</v>
      </c>
      <c r="P232" s="34">
        <f>IF(Tabell2[[#This Row],[Eldreandel]]&lt;=G$434,G$434,IF(Tabell2[[#This Row],[Eldreandel]]&gt;=G$435,G$435,Tabell2[[#This Row],[Eldreandel]]))</f>
        <v>0.16701680672268907</v>
      </c>
      <c r="Q232" s="34">
        <f>IF(Tabell2[[#This Row],[Sysselsettingsvekst10]]&lt;=H$434,H$434,IF(Tabell2[[#This Row],[Sysselsettingsvekst10]]&gt;=H$435,H$435,Tabell2[[#This Row],[Sysselsettingsvekst10]]))</f>
        <v>0.19280719280719283</v>
      </c>
      <c r="R232" s="34">
        <f>IF(Tabell2[[#This Row],[Yrkesaktivandel]]&lt;=I$434,I$434,IF(Tabell2[[#This Row],[Yrkesaktivandel]]&gt;=I$435,I$435,Tabell2[[#This Row],[Yrkesaktivandel]]))</f>
        <v>0.92116697703289885</v>
      </c>
      <c r="S232" s="22">
        <f>IF(Tabell2[[#This Row],[Inntekt]]&lt;=J$434,J$434,IF(Tabell2[[#This Row],[Inntekt]]&gt;=J$435,J$435,Tabell2[[#This Row],[Inntekt]]))</f>
        <v>417780</v>
      </c>
      <c r="T232" s="22">
        <f>IF(Tabell2[[#This Row],[NIBR11-T]]&lt;=K$437,100,IF(Tabell2[[#This Row],[NIBR11-T]]&gt;=K$436,0,100*(K$436-Tabell2[[#This Row],[NIBR11-T]])/K$439))</f>
        <v>100</v>
      </c>
      <c r="U232" s="7">
        <f>IF(Tabell2[[#This Row],[ReisetidOslo-T]]&lt;=L$437,100,IF(Tabell2[[#This Row],[ReisetidOslo-T]]&gt;=L$436,0,100*(L$436-Tabell2[[#This Row],[ReisetidOslo-T]])/L$439))</f>
        <v>25.896892138961885</v>
      </c>
      <c r="V232" s="7">
        <f>100-(M$436-Tabell2[[#This Row],[Beftettotal-T]])*100/M$439</f>
        <v>37.360869220691434</v>
      </c>
      <c r="W232" s="7">
        <f>100-(N$436-Tabell2[[#This Row],[Befvekst10-T]])*100/N$439</f>
        <v>83.100183472330116</v>
      </c>
      <c r="X232" s="7">
        <f>100-(O$436-Tabell2[[#This Row],[Kvinneandel-T]])*100/O$439</f>
        <v>62.50911767255851</v>
      </c>
      <c r="Y232" s="7">
        <f>(P$436-Tabell2[[#This Row],[Eldreandel-T]])*100/P$439</f>
        <v>51.903710745711109</v>
      </c>
      <c r="Z232" s="7">
        <f>100-(Q$436-Tabell2[[#This Row],[Sysselsettingsvekst10-T]])*100/Q$439</f>
        <v>78.11658910347029</v>
      </c>
      <c r="AA232" s="7">
        <f>100-(R$436-Tabell2[[#This Row],[Yrkesaktivandel-T]])*100/R$439</f>
        <v>68.578568892934953</v>
      </c>
      <c r="AB232" s="7">
        <f>100-(S$436-Tabell2[[#This Row],[Inntekt-T]])*100/S$439</f>
        <v>100</v>
      </c>
      <c r="AC232" s="55">
        <f>Tabell2[[#This Row],[NIBR11-I]]*Vekter!$B$3</f>
        <v>20</v>
      </c>
      <c r="AD232" s="55">
        <f>Tabell2[[#This Row],[ReisetidOslo-I]]*Vekter!$C$3</f>
        <v>2.5896892138961887</v>
      </c>
      <c r="AE232" s="55">
        <f>Tabell2[[#This Row],[Beftettotal-I]]*Vekter!$D$3</f>
        <v>3.7360869220691435</v>
      </c>
      <c r="AF232" s="55">
        <f>Tabell2[[#This Row],[Befvekst10-I]]*Vekter!$E$3</f>
        <v>16.620036694466023</v>
      </c>
      <c r="AG232" s="55">
        <f>Tabell2[[#This Row],[Kvinneandel-I]]*Vekter!$F$3</f>
        <v>3.1254558836279256</v>
      </c>
      <c r="AH232" s="55">
        <f>Tabell2[[#This Row],[Eldreandel-I]]*Vekter!$G$3</f>
        <v>2.5951855372855555</v>
      </c>
      <c r="AI232" s="55">
        <f>Tabell2[[#This Row],[Sysselsettingsvekst10-I]]*Vekter!$H$3</f>
        <v>7.8116589103470293</v>
      </c>
      <c r="AJ232" s="55">
        <f>Tabell2[[#This Row],[Yrkesaktivandel-I]]*Vekter!$J$3</f>
        <v>6.8578568892934957</v>
      </c>
      <c r="AK232" s="55">
        <f>Tabell2[[#This Row],[Inntekt-I]]*Vekter!$L$3</f>
        <v>10</v>
      </c>
      <c r="AL232" s="56">
        <f>SUM(Tabell2[[#This Row],[NIBR11-v]:[Inntekt-v]])</f>
        <v>73.335970050985367</v>
      </c>
    </row>
    <row r="233" spans="1:38" x14ac:dyDescent="0.25">
      <c r="A233" s="2" t="s">
        <v>230</v>
      </c>
      <c r="B233">
        <f>'Rådata-K'!M232</f>
        <v>11</v>
      </c>
      <c r="C233" s="7">
        <f>'Rådata-K'!L232</f>
        <v>257.116666667</v>
      </c>
      <c r="D233" s="34">
        <f>'Rådata-K'!N232</f>
        <v>60.668103448275865</v>
      </c>
      <c r="E233" s="34">
        <f>'Rådata-K'!O232</f>
        <v>-0.14826021180030258</v>
      </c>
      <c r="F233" s="34">
        <f>'Rådata-K'!P232</f>
        <v>7.460035523978685E-2</v>
      </c>
      <c r="G233" s="34">
        <f>'Rådata-K'!Q232</f>
        <v>0.20603907637655416</v>
      </c>
      <c r="H233" s="34">
        <f>'Rådata-K'!R232</f>
        <v>-7.7738515901060068E-2</v>
      </c>
      <c r="I233" s="34">
        <f>'Rådata-K'!S232</f>
        <v>0.92041522491349481</v>
      </c>
      <c r="J233" s="22">
        <f>'Rådata-K'!K232</f>
        <v>388800</v>
      </c>
      <c r="K233" s="22">
        <f>Tabell2[[#This Row],[NIBR11]]</f>
        <v>11</v>
      </c>
      <c r="L233" s="32">
        <f>IF(Tabell2[[#This Row],[ReisetidOslo]]&lt;=C$434,C$434,IF(Tabell2[[#This Row],[ReisetidOslo]]&gt;=C$435,C$435,Tabell2[[#This Row],[ReisetidOslo]]))</f>
        <v>257.116666667</v>
      </c>
      <c r="M233" s="32">
        <f>IF(Tabell2[[#This Row],[Beftettotal]]&lt;=D$434,D$434,IF(Tabell2[[#This Row],[Beftettotal]]&gt;=D$435,D$435,Tabell2[[#This Row],[Beftettotal]]))</f>
        <v>60.668103448275865</v>
      </c>
      <c r="N233" s="34">
        <f>IF(Tabell2[[#This Row],[Befvekst10]]&lt;=E$434,E$434,IF(Tabell2[[#This Row],[Befvekst10]]&gt;=E$435,E$435,Tabell2[[#This Row],[Befvekst10]]))</f>
        <v>-7.6196156394963507E-2</v>
      </c>
      <c r="O233" s="34">
        <f>IF(Tabell2[[#This Row],[Kvinneandel]]&lt;=F$434,F$434,IF(Tabell2[[#This Row],[Kvinneandel]]&gt;=F$435,F$435,Tabell2[[#This Row],[Kvinneandel]]))</f>
        <v>9.0490197137593403E-2</v>
      </c>
      <c r="P233" s="34">
        <f>IF(Tabell2[[#This Row],[Eldreandel]]&lt;=G$434,G$434,IF(Tabell2[[#This Row],[Eldreandel]]&gt;=G$435,G$435,Tabell2[[#This Row],[Eldreandel]]))</f>
        <v>0.20603907637655416</v>
      </c>
      <c r="Q233" s="34">
        <f>IF(Tabell2[[#This Row],[Sysselsettingsvekst10]]&lt;=H$434,H$434,IF(Tabell2[[#This Row],[Sysselsettingsvekst10]]&gt;=H$435,H$435,Tabell2[[#This Row],[Sysselsettingsvekst10]]))</f>
        <v>-6.9733479337269061E-2</v>
      </c>
      <c r="R233" s="34">
        <f>IF(Tabell2[[#This Row],[Yrkesaktivandel]]&lt;=I$434,I$434,IF(Tabell2[[#This Row],[Yrkesaktivandel]]&gt;=I$435,I$435,Tabell2[[#This Row],[Yrkesaktivandel]]))</f>
        <v>0.92041522491349481</v>
      </c>
      <c r="S233" s="22">
        <f>IF(Tabell2[[#This Row],[Inntekt]]&lt;=J$434,J$434,IF(Tabell2[[#This Row],[Inntekt]]&gt;=J$435,J$435,Tabell2[[#This Row],[Inntekt]]))</f>
        <v>388800</v>
      </c>
      <c r="T233" s="22">
        <f>IF(Tabell2[[#This Row],[NIBR11-T]]&lt;=K$437,100,IF(Tabell2[[#This Row],[NIBR11-T]]&gt;=K$436,0,100*(K$436-Tabell2[[#This Row],[NIBR11-T]])/K$439))</f>
        <v>0</v>
      </c>
      <c r="U233" s="7">
        <f>IF(Tabell2[[#This Row],[ReisetidOslo-T]]&lt;=L$437,100,IF(Tabell2[[#This Row],[ReisetidOslo-T]]&gt;=L$436,0,100*(L$436-Tabell2[[#This Row],[ReisetidOslo-T]])/L$439))</f>
        <v>10.240585009003707</v>
      </c>
      <c r="V233" s="7">
        <f>100-(M$436-Tabell2[[#This Row],[Beftettotal-T]])*100/M$439</f>
        <v>45.902399225445734</v>
      </c>
      <c r="W233" s="7">
        <f>100-(N$436-Tabell2[[#This Row],[Befvekst10-T]])*100/N$439</f>
        <v>0</v>
      </c>
      <c r="X233" s="7">
        <f>100-(O$436-Tabell2[[#This Row],[Kvinneandel-T]])*100/O$439</f>
        <v>0</v>
      </c>
      <c r="Y233" s="7">
        <f>(P$436-Tabell2[[#This Row],[Eldreandel-T]])*100/P$439</f>
        <v>9.1449831326612898</v>
      </c>
      <c r="Z233" s="7">
        <f>100-(Q$436-Tabell2[[#This Row],[Sysselsettingsvekst10-T]])*100/Q$439</f>
        <v>0</v>
      </c>
      <c r="AA233" s="7">
        <f>100-(R$436-Tabell2[[#This Row],[Yrkesaktivandel-T]])*100/R$439</f>
        <v>68.000552891241412</v>
      </c>
      <c r="AB233" s="7">
        <f>100-(S$436-Tabell2[[#This Row],[Inntekt-T]])*100/S$439</f>
        <v>66.357093104248889</v>
      </c>
      <c r="AC233" s="55">
        <f>Tabell2[[#This Row],[NIBR11-I]]*Vekter!$B$3</f>
        <v>0</v>
      </c>
      <c r="AD233" s="55">
        <f>Tabell2[[#This Row],[ReisetidOslo-I]]*Vekter!$C$3</f>
        <v>1.0240585009003709</v>
      </c>
      <c r="AE233" s="55">
        <f>Tabell2[[#This Row],[Beftettotal-I]]*Vekter!$D$3</f>
        <v>4.5902399225445736</v>
      </c>
      <c r="AF233" s="55">
        <f>Tabell2[[#This Row],[Befvekst10-I]]*Vekter!$E$3</f>
        <v>0</v>
      </c>
      <c r="AG233" s="55">
        <f>Tabell2[[#This Row],[Kvinneandel-I]]*Vekter!$F$3</f>
        <v>0</v>
      </c>
      <c r="AH233" s="55">
        <f>Tabell2[[#This Row],[Eldreandel-I]]*Vekter!$G$3</f>
        <v>0.45724915663306454</v>
      </c>
      <c r="AI233" s="55">
        <f>Tabell2[[#This Row],[Sysselsettingsvekst10-I]]*Vekter!$H$3</f>
        <v>0</v>
      </c>
      <c r="AJ233" s="55">
        <f>Tabell2[[#This Row],[Yrkesaktivandel-I]]*Vekter!$J$3</f>
        <v>6.8000552891241419</v>
      </c>
      <c r="AK233" s="55">
        <f>Tabell2[[#This Row],[Inntekt-I]]*Vekter!$L$3</f>
        <v>6.6357093104248897</v>
      </c>
      <c r="AL233" s="56">
        <f>SUM(Tabell2[[#This Row],[NIBR11-v]:[Inntekt-v]])</f>
        <v>19.507312179627043</v>
      </c>
    </row>
    <row r="234" spans="1:38" x14ac:dyDescent="0.25">
      <c r="A234" s="2" t="s">
        <v>231</v>
      </c>
      <c r="B234">
        <f>'Rådata-K'!M233</f>
        <v>5</v>
      </c>
      <c r="C234" s="7">
        <f>'Rådata-K'!L233</f>
        <v>228.38333333330002</v>
      </c>
      <c r="D234" s="34">
        <f>'Rådata-K'!N233</f>
        <v>3.0643624004172132</v>
      </c>
      <c r="E234" s="34">
        <f>'Rådata-K'!O233</f>
        <v>6.4973419964560186E-3</v>
      </c>
      <c r="F234" s="34">
        <f>'Rådata-K'!P233</f>
        <v>9.5657276995305171E-2</v>
      </c>
      <c r="G234" s="34">
        <f>'Rådata-K'!Q233</f>
        <v>0.20539906103286384</v>
      </c>
      <c r="H234" s="34">
        <f>'Rådata-K'!R233</f>
        <v>0.12873134328358216</v>
      </c>
      <c r="I234" s="34">
        <f>'Rådata-K'!S233</f>
        <v>0.9867403314917127</v>
      </c>
      <c r="J234" s="22">
        <f>'Rådata-K'!K233</f>
        <v>391800</v>
      </c>
      <c r="K234" s="22">
        <f>Tabell2[[#This Row],[NIBR11]]</f>
        <v>5</v>
      </c>
      <c r="L234" s="32">
        <f>IF(Tabell2[[#This Row],[ReisetidOslo]]&lt;=C$434,C$434,IF(Tabell2[[#This Row],[ReisetidOslo]]&gt;=C$435,C$435,Tabell2[[#This Row],[ReisetidOslo]]))</f>
        <v>228.38333333330002</v>
      </c>
      <c r="M234" s="32">
        <f>IF(Tabell2[[#This Row],[Beftettotal]]&lt;=D$434,D$434,IF(Tabell2[[#This Row],[Beftettotal]]&gt;=D$435,D$435,Tabell2[[#This Row],[Beftettotal]]))</f>
        <v>3.0643624004172132</v>
      </c>
      <c r="N234" s="34">
        <f>IF(Tabell2[[#This Row],[Befvekst10]]&lt;=E$434,E$434,IF(Tabell2[[#This Row],[Befvekst10]]&gt;=E$435,E$435,Tabell2[[#This Row],[Befvekst10]]))</f>
        <v>6.4973419964560186E-3</v>
      </c>
      <c r="O234" s="34">
        <f>IF(Tabell2[[#This Row],[Kvinneandel]]&lt;=F$434,F$434,IF(Tabell2[[#This Row],[Kvinneandel]]&gt;=F$435,F$435,Tabell2[[#This Row],[Kvinneandel]]))</f>
        <v>9.5657276995305171E-2</v>
      </c>
      <c r="P234" s="34">
        <f>IF(Tabell2[[#This Row],[Eldreandel]]&lt;=G$434,G$434,IF(Tabell2[[#This Row],[Eldreandel]]&gt;=G$435,G$435,Tabell2[[#This Row],[Eldreandel]]))</f>
        <v>0.20539906103286384</v>
      </c>
      <c r="Q234" s="34">
        <f>IF(Tabell2[[#This Row],[Sysselsettingsvekst10]]&lt;=H$434,H$434,IF(Tabell2[[#This Row],[Sysselsettingsvekst10]]&gt;=H$435,H$435,Tabell2[[#This Row],[Sysselsettingsvekst10]]))</f>
        <v>0.12873134328358216</v>
      </c>
      <c r="R234" s="34">
        <f>IF(Tabell2[[#This Row],[Yrkesaktivandel]]&lt;=I$434,I$434,IF(Tabell2[[#This Row],[Yrkesaktivandel]]&gt;=I$435,I$435,Tabell2[[#This Row],[Yrkesaktivandel]]))</f>
        <v>0.96203284815106216</v>
      </c>
      <c r="S234" s="22">
        <f>IF(Tabell2[[#This Row],[Inntekt]]&lt;=J$434,J$434,IF(Tabell2[[#This Row],[Inntekt]]&gt;=J$435,J$435,Tabell2[[#This Row],[Inntekt]]))</f>
        <v>391800</v>
      </c>
      <c r="T234" s="22">
        <f>IF(Tabell2[[#This Row],[NIBR11-T]]&lt;=K$437,100,IF(Tabell2[[#This Row],[NIBR11-T]]&gt;=K$436,0,100*(K$436-Tabell2[[#This Row],[NIBR11-T]])/K$439))</f>
        <v>60</v>
      </c>
      <c r="U234" s="7">
        <f>IF(Tabell2[[#This Row],[ReisetidOslo-T]]&lt;=L$437,100,IF(Tabell2[[#This Row],[ReisetidOslo-T]]&gt;=L$436,0,100*(L$436-Tabell2[[#This Row],[ReisetidOslo-T]])/L$439))</f>
        <v>22.847531992709907</v>
      </c>
      <c r="V234" s="7">
        <f>100-(M$436-Tabell2[[#This Row],[Beftettotal-T]])*100/M$439</f>
        <v>1.3418283524295305</v>
      </c>
      <c r="W234" s="7">
        <f>100-(N$436-Tabell2[[#This Row],[Befvekst10-T]])*100/N$439</f>
        <v>33.295425247910288</v>
      </c>
      <c r="X234" s="7">
        <f>100-(O$436-Tabell2[[#This Row],[Kvinneandel-T]])*100/O$439</f>
        <v>13.653912774422452</v>
      </c>
      <c r="Y234" s="7">
        <f>(P$436-Tabell2[[#This Row],[Eldreandel-T]])*100/P$439</f>
        <v>9.8462811861002777</v>
      </c>
      <c r="Z234" s="7">
        <f>100-(Q$436-Tabell2[[#This Row],[Sysselsettingsvekst10-T]])*100/Q$439</f>
        <v>59.051402868487642</v>
      </c>
      <c r="AA234" s="7">
        <f>100-(R$436-Tabell2[[#This Row],[Yrkesaktivandel-T]])*100/R$439</f>
        <v>100</v>
      </c>
      <c r="AB234" s="7">
        <f>100-(S$436-Tabell2[[#This Row],[Inntekt-T]])*100/S$439</f>
        <v>69.839795681448805</v>
      </c>
      <c r="AC234" s="55">
        <f>Tabell2[[#This Row],[NIBR11-I]]*Vekter!$B$3</f>
        <v>12</v>
      </c>
      <c r="AD234" s="55">
        <f>Tabell2[[#This Row],[ReisetidOslo-I]]*Vekter!$C$3</f>
        <v>2.2847531992709906</v>
      </c>
      <c r="AE234" s="55">
        <f>Tabell2[[#This Row],[Beftettotal-I]]*Vekter!$D$3</f>
        <v>0.13418283524295305</v>
      </c>
      <c r="AF234" s="55">
        <f>Tabell2[[#This Row],[Befvekst10-I]]*Vekter!$E$3</f>
        <v>6.6590850495820577</v>
      </c>
      <c r="AG234" s="55">
        <f>Tabell2[[#This Row],[Kvinneandel-I]]*Vekter!$F$3</f>
        <v>0.6826956387211226</v>
      </c>
      <c r="AH234" s="55">
        <f>Tabell2[[#This Row],[Eldreandel-I]]*Vekter!$G$3</f>
        <v>0.49231405930501393</v>
      </c>
      <c r="AI234" s="55">
        <f>Tabell2[[#This Row],[Sysselsettingsvekst10-I]]*Vekter!$H$3</f>
        <v>5.9051402868487646</v>
      </c>
      <c r="AJ234" s="55">
        <f>Tabell2[[#This Row],[Yrkesaktivandel-I]]*Vekter!$J$3</f>
        <v>10</v>
      </c>
      <c r="AK234" s="55">
        <f>Tabell2[[#This Row],[Inntekt-I]]*Vekter!$L$3</f>
        <v>6.9839795681448811</v>
      </c>
      <c r="AL234" s="56">
        <f>SUM(Tabell2[[#This Row],[NIBR11-v]:[Inntekt-v]])</f>
        <v>45.142150637115783</v>
      </c>
    </row>
    <row r="235" spans="1:38" x14ac:dyDescent="0.25">
      <c r="A235" s="2" t="s">
        <v>232</v>
      </c>
      <c r="B235">
        <f>'Rådata-K'!M234</f>
        <v>7</v>
      </c>
      <c r="C235" s="7">
        <f>'Rådata-K'!L234</f>
        <v>168.11666666667</v>
      </c>
      <c r="D235" s="34">
        <f>'Rådata-K'!N234</f>
        <v>17.10947641713544</v>
      </c>
      <c r="E235" s="34">
        <f>'Rådata-K'!O234</f>
        <v>4.3822597676874242E-2</v>
      </c>
      <c r="F235" s="34">
        <f>'Rådata-K'!P234</f>
        <v>0.11642218850109594</v>
      </c>
      <c r="G235" s="34">
        <f>'Rådata-K'!Q234</f>
        <v>0.12948912493677289</v>
      </c>
      <c r="H235" s="34">
        <f>'Rådata-K'!R234</f>
        <v>0.17759026687598123</v>
      </c>
      <c r="I235" s="34">
        <f>'Rådata-K'!S234</f>
        <v>0.91401134875600176</v>
      </c>
      <c r="J235" s="22">
        <f>'Rådata-K'!K234</f>
        <v>400200</v>
      </c>
      <c r="K235" s="22">
        <f>Tabell2[[#This Row],[NIBR11]]</f>
        <v>7</v>
      </c>
      <c r="L235" s="32">
        <f>IF(Tabell2[[#This Row],[ReisetidOslo]]&lt;=C$434,C$434,IF(Tabell2[[#This Row],[ReisetidOslo]]&gt;=C$435,C$435,Tabell2[[#This Row],[ReisetidOslo]]))</f>
        <v>168.11666666667</v>
      </c>
      <c r="M235" s="32">
        <f>IF(Tabell2[[#This Row],[Beftettotal]]&lt;=D$434,D$434,IF(Tabell2[[#This Row],[Beftettotal]]&gt;=D$435,D$435,Tabell2[[#This Row],[Beftettotal]]))</f>
        <v>17.10947641713544</v>
      </c>
      <c r="N235" s="34">
        <f>IF(Tabell2[[#This Row],[Befvekst10]]&lt;=E$434,E$434,IF(Tabell2[[#This Row],[Befvekst10]]&gt;=E$435,E$435,Tabell2[[#This Row],[Befvekst10]]))</f>
        <v>4.3822597676874242E-2</v>
      </c>
      <c r="O235" s="34">
        <f>IF(Tabell2[[#This Row],[Kvinneandel]]&lt;=F$434,F$434,IF(Tabell2[[#This Row],[Kvinneandel]]&gt;=F$435,F$435,Tabell2[[#This Row],[Kvinneandel]]))</f>
        <v>0.11642218850109594</v>
      </c>
      <c r="P235" s="34">
        <f>IF(Tabell2[[#This Row],[Eldreandel]]&lt;=G$434,G$434,IF(Tabell2[[#This Row],[Eldreandel]]&gt;=G$435,G$435,Tabell2[[#This Row],[Eldreandel]]))</f>
        <v>0.12948912493677289</v>
      </c>
      <c r="Q235" s="34">
        <f>IF(Tabell2[[#This Row],[Sysselsettingsvekst10]]&lt;=H$434,H$434,IF(Tabell2[[#This Row],[Sysselsettingsvekst10]]&gt;=H$435,H$435,Tabell2[[#This Row],[Sysselsettingsvekst10]]))</f>
        <v>0.17759026687598123</v>
      </c>
      <c r="R235" s="34">
        <f>IF(Tabell2[[#This Row],[Yrkesaktivandel]]&lt;=I$434,I$434,IF(Tabell2[[#This Row],[Yrkesaktivandel]]&gt;=I$435,I$435,Tabell2[[#This Row],[Yrkesaktivandel]]))</f>
        <v>0.91401134875600176</v>
      </c>
      <c r="S235" s="22">
        <f>IF(Tabell2[[#This Row],[Inntekt]]&lt;=J$434,J$434,IF(Tabell2[[#This Row],[Inntekt]]&gt;=J$435,J$435,Tabell2[[#This Row],[Inntekt]]))</f>
        <v>400200</v>
      </c>
      <c r="T235" s="22">
        <f>IF(Tabell2[[#This Row],[NIBR11-T]]&lt;=K$437,100,IF(Tabell2[[#This Row],[NIBR11-T]]&gt;=K$436,0,100*(K$436-Tabell2[[#This Row],[NIBR11-T]])/K$439))</f>
        <v>40</v>
      </c>
      <c r="U235" s="7">
        <f>IF(Tabell2[[#This Row],[ReisetidOslo-T]]&lt;=L$437,100,IF(Tabell2[[#This Row],[ReisetidOslo-T]]&gt;=L$436,0,100*(L$436-Tabell2[[#This Row],[ReisetidOslo-T]])/L$439))</f>
        <v>49.289945155396779</v>
      </c>
      <c r="V235" s="7">
        <f>100-(M$436-Tabell2[[#This Row],[Beftettotal-T]])*100/M$439</f>
        <v>12.206718152583093</v>
      </c>
      <c r="W235" s="7">
        <f>100-(N$436-Tabell2[[#This Row],[Befvekst10-T]])*100/N$439</f>
        <v>48.323937580089662</v>
      </c>
      <c r="X235" s="7">
        <f>100-(O$436-Tabell2[[#This Row],[Kvinneandel-T]])*100/O$439</f>
        <v>68.524806640232725</v>
      </c>
      <c r="Y235" s="7">
        <f>(P$436-Tabell2[[#This Row],[Eldreandel-T]])*100/P$439</f>
        <v>93.024740805382777</v>
      </c>
      <c r="Z235" s="7">
        <f>100-(Q$436-Tabell2[[#This Row],[Sysselsettingsvekst10-T]])*100/Q$439</f>
        <v>73.588931195546891</v>
      </c>
      <c r="AA235" s="7">
        <f>100-(R$436-Tabell2[[#This Row],[Yrkesaktivandel-T]])*100/R$439</f>
        <v>63.076665353911757</v>
      </c>
      <c r="AB235" s="7">
        <f>100-(S$436-Tabell2[[#This Row],[Inntekt-T]])*100/S$439</f>
        <v>79.591362897608548</v>
      </c>
      <c r="AC235" s="55">
        <f>Tabell2[[#This Row],[NIBR11-I]]*Vekter!$B$3</f>
        <v>8</v>
      </c>
      <c r="AD235" s="55">
        <f>Tabell2[[#This Row],[ReisetidOslo-I]]*Vekter!$C$3</f>
        <v>4.9289945155396779</v>
      </c>
      <c r="AE235" s="55">
        <f>Tabell2[[#This Row],[Beftettotal-I]]*Vekter!$D$3</f>
        <v>1.2206718152583094</v>
      </c>
      <c r="AF235" s="55">
        <f>Tabell2[[#This Row],[Befvekst10-I]]*Vekter!$E$3</f>
        <v>9.6647875160179328</v>
      </c>
      <c r="AG235" s="55">
        <f>Tabell2[[#This Row],[Kvinneandel-I]]*Vekter!$F$3</f>
        <v>3.4262403320116364</v>
      </c>
      <c r="AH235" s="55">
        <f>Tabell2[[#This Row],[Eldreandel-I]]*Vekter!$G$3</f>
        <v>4.6512370402691392</v>
      </c>
      <c r="AI235" s="55">
        <f>Tabell2[[#This Row],[Sysselsettingsvekst10-I]]*Vekter!$H$3</f>
        <v>7.3588931195546898</v>
      </c>
      <c r="AJ235" s="55">
        <f>Tabell2[[#This Row],[Yrkesaktivandel-I]]*Vekter!$J$3</f>
        <v>6.3076665353911761</v>
      </c>
      <c r="AK235" s="55">
        <f>Tabell2[[#This Row],[Inntekt-I]]*Vekter!$L$3</f>
        <v>7.9591362897608553</v>
      </c>
      <c r="AL235" s="56">
        <f>SUM(Tabell2[[#This Row],[NIBR11-v]:[Inntekt-v]])</f>
        <v>53.517627163803418</v>
      </c>
    </row>
    <row r="236" spans="1:38" x14ac:dyDescent="0.25">
      <c r="A236" s="2" t="s">
        <v>233</v>
      </c>
      <c r="B236">
        <f>'Rådata-K'!M235</f>
        <v>11</v>
      </c>
      <c r="C236" s="7">
        <f>'Rådata-K'!L235</f>
        <v>259.383333333</v>
      </c>
      <c r="D236" s="34">
        <f>'Rådata-K'!N235</f>
        <v>3.9098474573433135</v>
      </c>
      <c r="E236" s="34">
        <f>'Rådata-K'!O235</f>
        <v>-5.0427002846685665E-2</v>
      </c>
      <c r="F236" s="34">
        <f>'Rådata-K'!P235</f>
        <v>0.10920770877944326</v>
      </c>
      <c r="G236" s="34">
        <f>'Rådata-K'!Q235</f>
        <v>0.19229122055674519</v>
      </c>
      <c r="H236" s="34">
        <f>'Rådata-K'!R235</f>
        <v>0.14124783362218363</v>
      </c>
      <c r="I236" s="34">
        <f>'Rådata-K'!S235</f>
        <v>0.99367588932806328</v>
      </c>
      <c r="J236" s="22">
        <f>'Rådata-K'!K235</f>
        <v>383600</v>
      </c>
      <c r="K236" s="22">
        <f>Tabell2[[#This Row],[NIBR11]]</f>
        <v>11</v>
      </c>
      <c r="L236" s="32">
        <f>IF(Tabell2[[#This Row],[ReisetidOslo]]&lt;=C$434,C$434,IF(Tabell2[[#This Row],[ReisetidOslo]]&gt;=C$435,C$435,Tabell2[[#This Row],[ReisetidOslo]]))</f>
        <v>259.383333333</v>
      </c>
      <c r="M236" s="32">
        <f>IF(Tabell2[[#This Row],[Beftettotal]]&lt;=D$434,D$434,IF(Tabell2[[#This Row],[Beftettotal]]&gt;=D$435,D$435,Tabell2[[#This Row],[Beftettotal]]))</f>
        <v>3.9098474573433135</v>
      </c>
      <c r="N236" s="34">
        <f>IF(Tabell2[[#This Row],[Befvekst10]]&lt;=E$434,E$434,IF(Tabell2[[#This Row],[Befvekst10]]&gt;=E$435,E$435,Tabell2[[#This Row],[Befvekst10]]))</f>
        <v>-5.0427002846685665E-2</v>
      </c>
      <c r="O236" s="34">
        <f>IF(Tabell2[[#This Row],[Kvinneandel]]&lt;=F$434,F$434,IF(Tabell2[[#This Row],[Kvinneandel]]&gt;=F$435,F$435,Tabell2[[#This Row],[Kvinneandel]]))</f>
        <v>0.10920770877944326</v>
      </c>
      <c r="P236" s="34">
        <f>IF(Tabell2[[#This Row],[Eldreandel]]&lt;=G$434,G$434,IF(Tabell2[[#This Row],[Eldreandel]]&gt;=G$435,G$435,Tabell2[[#This Row],[Eldreandel]]))</f>
        <v>0.19229122055674519</v>
      </c>
      <c r="Q236" s="34">
        <f>IF(Tabell2[[#This Row],[Sysselsettingsvekst10]]&lt;=H$434,H$434,IF(Tabell2[[#This Row],[Sysselsettingsvekst10]]&gt;=H$435,H$435,Tabell2[[#This Row],[Sysselsettingsvekst10]]))</f>
        <v>0.14124783362218363</v>
      </c>
      <c r="R236" s="34">
        <f>IF(Tabell2[[#This Row],[Yrkesaktivandel]]&lt;=I$434,I$434,IF(Tabell2[[#This Row],[Yrkesaktivandel]]&gt;=I$435,I$435,Tabell2[[#This Row],[Yrkesaktivandel]]))</f>
        <v>0.96203284815106216</v>
      </c>
      <c r="S236" s="22">
        <f>IF(Tabell2[[#This Row],[Inntekt]]&lt;=J$434,J$434,IF(Tabell2[[#This Row],[Inntekt]]&gt;=J$435,J$435,Tabell2[[#This Row],[Inntekt]]))</f>
        <v>383600</v>
      </c>
      <c r="T236" s="22">
        <f>IF(Tabell2[[#This Row],[NIBR11-T]]&lt;=K$437,100,IF(Tabell2[[#This Row],[NIBR11-T]]&gt;=K$436,0,100*(K$436-Tabell2[[#This Row],[NIBR11-T]])/K$439))</f>
        <v>0</v>
      </c>
      <c r="U236" s="7">
        <f>IF(Tabell2[[#This Row],[ReisetidOslo-T]]&lt;=L$437,100,IF(Tabell2[[#This Row],[ReisetidOslo-T]]&gt;=L$436,0,100*(L$436-Tabell2[[#This Row],[ReisetidOslo-T]])/L$439))</f>
        <v>9.2460694699910153</v>
      </c>
      <c r="V236" s="7">
        <f>100-(M$436-Tabell2[[#This Row],[Beftettotal-T]])*100/M$439</f>
        <v>1.9958708870963591</v>
      </c>
      <c r="W236" s="7">
        <f>100-(N$436-Tabell2[[#This Row],[Befvekst10-T]])*100/N$439</f>
        <v>10.375603189592894</v>
      </c>
      <c r="X236" s="7">
        <f>100-(O$436-Tabell2[[#This Row],[Kvinneandel-T]])*100/O$439</f>
        <v>49.460677665088838</v>
      </c>
      <c r="Y236" s="7">
        <f>(P$436-Tabell2[[#This Row],[Eldreandel-T]])*100/P$439</f>
        <v>24.209222795729396</v>
      </c>
      <c r="Z236" s="7">
        <f>100-(Q$436-Tabell2[[#This Row],[Sysselsettingsvekst10-T]])*100/Q$439</f>
        <v>62.775570727173125</v>
      </c>
      <c r="AA236" s="7">
        <f>100-(R$436-Tabell2[[#This Row],[Yrkesaktivandel-T]])*100/R$439</f>
        <v>100</v>
      </c>
      <c r="AB236" s="7">
        <f>100-(S$436-Tabell2[[#This Row],[Inntekt-T]])*100/S$439</f>
        <v>60.320408637102389</v>
      </c>
      <c r="AC236" s="55">
        <f>Tabell2[[#This Row],[NIBR11-I]]*Vekter!$B$3</f>
        <v>0</v>
      </c>
      <c r="AD236" s="55">
        <f>Tabell2[[#This Row],[ReisetidOslo-I]]*Vekter!$C$3</f>
        <v>0.92460694699910162</v>
      </c>
      <c r="AE236" s="55">
        <f>Tabell2[[#This Row],[Beftettotal-I]]*Vekter!$D$3</f>
        <v>0.19958708870963593</v>
      </c>
      <c r="AF236" s="55">
        <f>Tabell2[[#This Row],[Befvekst10-I]]*Vekter!$E$3</f>
        <v>2.0751206379185789</v>
      </c>
      <c r="AG236" s="55">
        <f>Tabell2[[#This Row],[Kvinneandel-I]]*Vekter!$F$3</f>
        <v>2.4730338832544421</v>
      </c>
      <c r="AH236" s="55">
        <f>Tabell2[[#This Row],[Eldreandel-I]]*Vekter!$G$3</f>
        <v>1.21046113978647</v>
      </c>
      <c r="AI236" s="55">
        <f>Tabell2[[#This Row],[Sysselsettingsvekst10-I]]*Vekter!$H$3</f>
        <v>6.2775570727173129</v>
      </c>
      <c r="AJ236" s="55">
        <f>Tabell2[[#This Row],[Yrkesaktivandel-I]]*Vekter!$J$3</f>
        <v>10</v>
      </c>
      <c r="AK236" s="55">
        <f>Tabell2[[#This Row],[Inntekt-I]]*Vekter!$L$3</f>
        <v>6.0320408637102396</v>
      </c>
      <c r="AL236" s="56">
        <f>SUM(Tabell2[[#This Row],[NIBR11-v]:[Inntekt-v]])</f>
        <v>29.19240763309578</v>
      </c>
    </row>
    <row r="237" spans="1:38" x14ac:dyDescent="0.25">
      <c r="A237" s="2" t="s">
        <v>234</v>
      </c>
      <c r="B237">
        <f>'Rådata-K'!M236</f>
        <v>11</v>
      </c>
      <c r="C237" s="7">
        <f>'Rådata-K'!L236</f>
        <v>311.3</v>
      </c>
      <c r="D237" s="34">
        <f>'Rådata-K'!N236</f>
        <v>3.5049288061336252</v>
      </c>
      <c r="E237" s="34">
        <f>'Rådata-K'!O236</f>
        <v>-8.5714285714285743E-2</v>
      </c>
      <c r="F237" s="34">
        <f>'Rådata-K'!P236</f>
        <v>8.1250000000000003E-2</v>
      </c>
      <c r="G237" s="34">
        <f>'Rådata-K'!Q236</f>
        <v>0.215</v>
      </c>
      <c r="H237" s="34">
        <f>'Rådata-K'!R236</f>
        <v>5.3050397877985045E-3</v>
      </c>
      <c r="I237" s="34">
        <f>'Rådata-K'!S236</f>
        <v>0.94</v>
      </c>
      <c r="J237" s="22">
        <f>'Rådata-K'!K236</f>
        <v>369100</v>
      </c>
      <c r="K237" s="22">
        <f>Tabell2[[#This Row],[NIBR11]]</f>
        <v>11</v>
      </c>
      <c r="L237" s="32">
        <f>IF(Tabell2[[#This Row],[ReisetidOslo]]&lt;=C$434,C$434,IF(Tabell2[[#This Row],[ReisetidOslo]]&gt;=C$435,C$435,Tabell2[[#This Row],[ReisetidOslo]]))</f>
        <v>280.45666666669001</v>
      </c>
      <c r="M237" s="32">
        <f>IF(Tabell2[[#This Row],[Beftettotal]]&lt;=D$434,D$434,IF(Tabell2[[#This Row],[Beftettotal]]&gt;=D$435,D$435,Tabell2[[#This Row],[Beftettotal]]))</f>
        <v>3.5049288061336252</v>
      </c>
      <c r="N237" s="34">
        <f>IF(Tabell2[[#This Row],[Befvekst10]]&lt;=E$434,E$434,IF(Tabell2[[#This Row],[Befvekst10]]&gt;=E$435,E$435,Tabell2[[#This Row],[Befvekst10]]))</f>
        <v>-7.6196156394963507E-2</v>
      </c>
      <c r="O237" s="34">
        <f>IF(Tabell2[[#This Row],[Kvinneandel]]&lt;=F$434,F$434,IF(Tabell2[[#This Row],[Kvinneandel]]&gt;=F$435,F$435,Tabell2[[#This Row],[Kvinneandel]]))</f>
        <v>9.0490197137593403E-2</v>
      </c>
      <c r="P237" s="34">
        <f>IF(Tabell2[[#This Row],[Eldreandel]]&lt;=G$434,G$434,IF(Tabell2[[#This Row],[Eldreandel]]&gt;=G$435,G$435,Tabell2[[#This Row],[Eldreandel]]))</f>
        <v>0.21438492803547596</v>
      </c>
      <c r="Q237" s="34">
        <f>IF(Tabell2[[#This Row],[Sysselsettingsvekst10]]&lt;=H$434,H$434,IF(Tabell2[[#This Row],[Sysselsettingsvekst10]]&gt;=H$435,H$435,Tabell2[[#This Row],[Sysselsettingsvekst10]]))</f>
        <v>5.3050397877985045E-3</v>
      </c>
      <c r="R237" s="34">
        <f>IF(Tabell2[[#This Row],[Yrkesaktivandel]]&lt;=I$434,I$434,IF(Tabell2[[#This Row],[Yrkesaktivandel]]&gt;=I$435,I$435,Tabell2[[#This Row],[Yrkesaktivandel]]))</f>
        <v>0.94</v>
      </c>
      <c r="S237" s="22">
        <f>IF(Tabell2[[#This Row],[Inntekt]]&lt;=J$434,J$434,IF(Tabell2[[#This Row],[Inntekt]]&gt;=J$435,J$435,Tabell2[[#This Row],[Inntekt]]))</f>
        <v>369100</v>
      </c>
      <c r="T237" s="22">
        <f>IF(Tabell2[[#This Row],[NIBR11-T]]&lt;=K$437,100,IF(Tabell2[[#This Row],[NIBR11-T]]&gt;=K$436,0,100*(K$436-Tabell2[[#This Row],[NIBR11-T]])/K$439))</f>
        <v>0</v>
      </c>
      <c r="U237" s="7">
        <f>IF(Tabell2[[#This Row],[ReisetidOslo-T]]&lt;=L$437,100,IF(Tabell2[[#This Row],[ReisetidOslo-T]]&gt;=L$436,0,100*(L$436-Tabell2[[#This Row],[ReisetidOslo-T]])/L$439))</f>
        <v>0</v>
      </c>
      <c r="V237" s="7">
        <f>100-(M$436-Tabell2[[#This Row],[Beftettotal-T]])*100/M$439</f>
        <v>1.6826376503861695</v>
      </c>
      <c r="W237" s="7">
        <f>100-(N$436-Tabell2[[#This Row],[Befvekst10-T]])*100/N$439</f>
        <v>0</v>
      </c>
      <c r="X237" s="7">
        <f>100-(O$436-Tabell2[[#This Row],[Kvinneandel-T]])*100/O$439</f>
        <v>0</v>
      </c>
      <c r="Y237" s="7">
        <f>(P$436-Tabell2[[#This Row],[Eldreandel-T]])*100/P$439</f>
        <v>0</v>
      </c>
      <c r="Z237" s="7">
        <f>100-(Q$436-Tabell2[[#This Row],[Sysselsettingsvekst10-T]])*100/Q$439</f>
        <v>22.327028865837576</v>
      </c>
      <c r="AA237" s="7">
        <f>100-(R$436-Tabell2[[#This Row],[Yrkesaktivandel-T]])*100/R$439</f>
        <v>83.059124855818268</v>
      </c>
      <c r="AB237" s="7">
        <f>100-(S$436-Tabell2[[#This Row],[Inntekt-T]])*100/S$439</f>
        <v>43.487346180636173</v>
      </c>
      <c r="AC237" s="55">
        <f>Tabell2[[#This Row],[NIBR11-I]]*Vekter!$B$3</f>
        <v>0</v>
      </c>
      <c r="AD237" s="55">
        <f>Tabell2[[#This Row],[ReisetidOslo-I]]*Vekter!$C$3</f>
        <v>0</v>
      </c>
      <c r="AE237" s="55">
        <f>Tabell2[[#This Row],[Beftettotal-I]]*Vekter!$D$3</f>
        <v>0.16826376503861695</v>
      </c>
      <c r="AF237" s="55">
        <f>Tabell2[[#This Row],[Befvekst10-I]]*Vekter!$E$3</f>
        <v>0</v>
      </c>
      <c r="AG237" s="55">
        <f>Tabell2[[#This Row],[Kvinneandel-I]]*Vekter!$F$3</f>
        <v>0</v>
      </c>
      <c r="AH237" s="55">
        <f>Tabell2[[#This Row],[Eldreandel-I]]*Vekter!$G$3</f>
        <v>0</v>
      </c>
      <c r="AI237" s="55">
        <f>Tabell2[[#This Row],[Sysselsettingsvekst10-I]]*Vekter!$H$3</f>
        <v>2.2327028865837577</v>
      </c>
      <c r="AJ237" s="55">
        <f>Tabell2[[#This Row],[Yrkesaktivandel-I]]*Vekter!$J$3</f>
        <v>8.3059124855818265</v>
      </c>
      <c r="AK237" s="55">
        <f>Tabell2[[#This Row],[Inntekt-I]]*Vekter!$L$3</f>
        <v>4.3487346180636175</v>
      </c>
      <c r="AL237" s="56">
        <f>SUM(Tabell2[[#This Row],[NIBR11-v]:[Inntekt-v]])</f>
        <v>15.055613755267817</v>
      </c>
    </row>
    <row r="238" spans="1:38" x14ac:dyDescent="0.25">
      <c r="A238" s="2" t="s">
        <v>235</v>
      </c>
      <c r="B238">
        <f>'Rådata-K'!M237</f>
        <v>11</v>
      </c>
      <c r="C238" s="7">
        <f>'Rådata-K'!L237</f>
        <v>210.9166666667</v>
      </c>
      <c r="D238" s="34">
        <f>'Rådata-K'!N237</f>
        <v>5.4268057164928551</v>
      </c>
      <c r="E238" s="34">
        <f>'Rådata-K'!O237</f>
        <v>-7.9292267365661862E-2</v>
      </c>
      <c r="F238" s="34">
        <f>'Rådata-K'!P237</f>
        <v>7.9003558718861208E-2</v>
      </c>
      <c r="G238" s="34">
        <f>'Rådata-K'!Q237</f>
        <v>0.22277580071174377</v>
      </c>
      <c r="H238" s="34">
        <f>'Rådata-K'!R237</f>
        <v>0.24104234527687307</v>
      </c>
      <c r="I238" s="34">
        <f>'Rådata-K'!S237</f>
        <v>0.96380697050938335</v>
      </c>
      <c r="J238" s="22">
        <f>'Rådata-K'!K237</f>
        <v>361700</v>
      </c>
      <c r="K238" s="22">
        <f>Tabell2[[#This Row],[NIBR11]]</f>
        <v>11</v>
      </c>
      <c r="L238" s="32">
        <f>IF(Tabell2[[#This Row],[ReisetidOslo]]&lt;=C$434,C$434,IF(Tabell2[[#This Row],[ReisetidOslo]]&gt;=C$435,C$435,Tabell2[[#This Row],[ReisetidOslo]]))</f>
        <v>210.9166666667</v>
      </c>
      <c r="M238" s="32">
        <f>IF(Tabell2[[#This Row],[Beftettotal]]&lt;=D$434,D$434,IF(Tabell2[[#This Row],[Beftettotal]]&gt;=D$435,D$435,Tabell2[[#This Row],[Beftettotal]]))</f>
        <v>5.4268057164928551</v>
      </c>
      <c r="N238" s="34">
        <f>IF(Tabell2[[#This Row],[Befvekst10]]&lt;=E$434,E$434,IF(Tabell2[[#This Row],[Befvekst10]]&gt;=E$435,E$435,Tabell2[[#This Row],[Befvekst10]]))</f>
        <v>-7.6196156394963507E-2</v>
      </c>
      <c r="O238" s="34">
        <f>IF(Tabell2[[#This Row],[Kvinneandel]]&lt;=F$434,F$434,IF(Tabell2[[#This Row],[Kvinneandel]]&gt;=F$435,F$435,Tabell2[[#This Row],[Kvinneandel]]))</f>
        <v>9.0490197137593403E-2</v>
      </c>
      <c r="P238" s="34">
        <f>IF(Tabell2[[#This Row],[Eldreandel]]&lt;=G$434,G$434,IF(Tabell2[[#This Row],[Eldreandel]]&gt;=G$435,G$435,Tabell2[[#This Row],[Eldreandel]]))</f>
        <v>0.21438492803547596</v>
      </c>
      <c r="Q238" s="34">
        <f>IF(Tabell2[[#This Row],[Sysselsettingsvekst10]]&lt;=H$434,H$434,IF(Tabell2[[#This Row],[Sysselsettingsvekst10]]&gt;=H$435,H$435,Tabell2[[#This Row],[Sysselsettingsvekst10]]))</f>
        <v>0.24104234527687307</v>
      </c>
      <c r="R238" s="34">
        <f>IF(Tabell2[[#This Row],[Yrkesaktivandel]]&lt;=I$434,I$434,IF(Tabell2[[#This Row],[Yrkesaktivandel]]&gt;=I$435,I$435,Tabell2[[#This Row],[Yrkesaktivandel]]))</f>
        <v>0.96203284815106216</v>
      </c>
      <c r="S238" s="22">
        <f>IF(Tabell2[[#This Row],[Inntekt]]&lt;=J$434,J$434,IF(Tabell2[[#This Row],[Inntekt]]&gt;=J$435,J$435,Tabell2[[#This Row],[Inntekt]]))</f>
        <v>361700</v>
      </c>
      <c r="T238" s="22">
        <f>IF(Tabell2[[#This Row],[NIBR11-T]]&lt;=K$437,100,IF(Tabell2[[#This Row],[NIBR11-T]]&gt;=K$436,0,100*(K$436-Tabell2[[#This Row],[NIBR11-T]])/K$439))</f>
        <v>0</v>
      </c>
      <c r="U238" s="7">
        <f>IF(Tabell2[[#This Row],[ReisetidOslo-T]]&lt;=L$437,100,IF(Tabell2[[#This Row],[ReisetidOslo-T]]&gt;=L$436,0,100*(L$436-Tabell2[[#This Row],[ReisetidOslo-T]])/L$439))</f>
        <v>30.51115173673838</v>
      </c>
      <c r="V238" s="7">
        <f>100-(M$436-Tabell2[[#This Row],[Beftettotal-T]])*100/M$439</f>
        <v>3.1693454703196693</v>
      </c>
      <c r="W238" s="7">
        <f>100-(N$436-Tabell2[[#This Row],[Befvekst10-T]])*100/N$439</f>
        <v>0</v>
      </c>
      <c r="X238" s="7">
        <f>100-(O$436-Tabell2[[#This Row],[Kvinneandel-T]])*100/O$439</f>
        <v>0</v>
      </c>
      <c r="Y238" s="7">
        <f>(P$436-Tabell2[[#This Row],[Eldreandel-T]])*100/P$439</f>
        <v>0</v>
      </c>
      <c r="Z238" s="7">
        <f>100-(Q$436-Tabell2[[#This Row],[Sysselsettingsvekst10-T]])*100/Q$439</f>
        <v>92.468520006366532</v>
      </c>
      <c r="AA238" s="7">
        <f>100-(R$436-Tabell2[[#This Row],[Yrkesaktivandel-T]])*100/R$439</f>
        <v>100</v>
      </c>
      <c r="AB238" s="7">
        <f>100-(S$436-Tabell2[[#This Row],[Inntekt-T]])*100/S$439</f>
        <v>34.896679823543067</v>
      </c>
      <c r="AC238" s="55">
        <f>Tabell2[[#This Row],[NIBR11-I]]*Vekter!$B$3</f>
        <v>0</v>
      </c>
      <c r="AD238" s="55">
        <f>Tabell2[[#This Row],[ReisetidOslo-I]]*Vekter!$C$3</f>
        <v>3.0511151736738382</v>
      </c>
      <c r="AE238" s="55">
        <f>Tabell2[[#This Row],[Beftettotal-I]]*Vekter!$D$3</f>
        <v>0.31693454703196694</v>
      </c>
      <c r="AF238" s="55">
        <f>Tabell2[[#This Row],[Befvekst10-I]]*Vekter!$E$3</f>
        <v>0</v>
      </c>
      <c r="AG238" s="55">
        <f>Tabell2[[#This Row],[Kvinneandel-I]]*Vekter!$F$3</f>
        <v>0</v>
      </c>
      <c r="AH238" s="55">
        <f>Tabell2[[#This Row],[Eldreandel-I]]*Vekter!$G$3</f>
        <v>0</v>
      </c>
      <c r="AI238" s="55">
        <f>Tabell2[[#This Row],[Sysselsettingsvekst10-I]]*Vekter!$H$3</f>
        <v>9.2468520006366539</v>
      </c>
      <c r="AJ238" s="55">
        <f>Tabell2[[#This Row],[Yrkesaktivandel-I]]*Vekter!$J$3</f>
        <v>10</v>
      </c>
      <c r="AK238" s="55">
        <f>Tabell2[[#This Row],[Inntekt-I]]*Vekter!$L$3</f>
        <v>3.4896679823543071</v>
      </c>
      <c r="AL238" s="56">
        <f>SUM(Tabell2[[#This Row],[NIBR11-v]:[Inntekt-v]])</f>
        <v>26.104569703696768</v>
      </c>
    </row>
    <row r="239" spans="1:38" x14ac:dyDescent="0.25">
      <c r="A239" s="2" t="s">
        <v>236</v>
      </c>
      <c r="B239">
        <f>'Rådata-K'!M238</f>
        <v>9</v>
      </c>
      <c r="C239" s="7">
        <f>'Rådata-K'!L238</f>
        <v>198.6</v>
      </c>
      <c r="D239" s="34">
        <f>'Rådata-K'!N238</f>
        <v>4.6045437978374437</v>
      </c>
      <c r="E239" s="34">
        <f>'Rådata-K'!O238</f>
        <v>-7.3967125721901339E-2</v>
      </c>
      <c r="F239" s="34">
        <f>'Rådata-K'!P238</f>
        <v>9.354761333653154E-2</v>
      </c>
      <c r="G239" s="34">
        <f>'Rådata-K'!Q238</f>
        <v>0.18181818181818182</v>
      </c>
      <c r="H239" s="34">
        <f>'Rådata-K'!R238</f>
        <v>-0.23094373865698725</v>
      </c>
      <c r="I239" s="34">
        <f>'Rådata-K'!S238</f>
        <v>0.87429070274989085</v>
      </c>
      <c r="J239" s="22">
        <f>'Rådata-K'!K238</f>
        <v>375500</v>
      </c>
      <c r="K239" s="22">
        <f>Tabell2[[#This Row],[NIBR11]]</f>
        <v>9</v>
      </c>
      <c r="L239" s="32">
        <f>IF(Tabell2[[#This Row],[ReisetidOslo]]&lt;=C$434,C$434,IF(Tabell2[[#This Row],[ReisetidOslo]]&gt;=C$435,C$435,Tabell2[[#This Row],[ReisetidOslo]]))</f>
        <v>198.6</v>
      </c>
      <c r="M239" s="32">
        <f>IF(Tabell2[[#This Row],[Beftettotal]]&lt;=D$434,D$434,IF(Tabell2[[#This Row],[Beftettotal]]&gt;=D$435,D$435,Tabell2[[#This Row],[Beftettotal]]))</f>
        <v>4.6045437978374437</v>
      </c>
      <c r="N239" s="34">
        <f>IF(Tabell2[[#This Row],[Befvekst10]]&lt;=E$434,E$434,IF(Tabell2[[#This Row],[Befvekst10]]&gt;=E$435,E$435,Tabell2[[#This Row],[Befvekst10]]))</f>
        <v>-7.3967125721901339E-2</v>
      </c>
      <c r="O239" s="34">
        <f>IF(Tabell2[[#This Row],[Kvinneandel]]&lt;=F$434,F$434,IF(Tabell2[[#This Row],[Kvinneandel]]&gt;=F$435,F$435,Tabell2[[#This Row],[Kvinneandel]]))</f>
        <v>9.354761333653154E-2</v>
      </c>
      <c r="P239" s="34">
        <f>IF(Tabell2[[#This Row],[Eldreandel]]&lt;=G$434,G$434,IF(Tabell2[[#This Row],[Eldreandel]]&gt;=G$435,G$435,Tabell2[[#This Row],[Eldreandel]]))</f>
        <v>0.18181818181818182</v>
      </c>
      <c r="Q239" s="34">
        <f>IF(Tabell2[[#This Row],[Sysselsettingsvekst10]]&lt;=H$434,H$434,IF(Tabell2[[#This Row],[Sysselsettingsvekst10]]&gt;=H$435,H$435,Tabell2[[#This Row],[Sysselsettingsvekst10]]))</f>
        <v>-6.9733479337269061E-2</v>
      </c>
      <c r="R239" s="34">
        <f>IF(Tabell2[[#This Row],[Yrkesaktivandel]]&lt;=I$434,I$434,IF(Tabell2[[#This Row],[Yrkesaktivandel]]&gt;=I$435,I$435,Tabell2[[#This Row],[Yrkesaktivandel]]))</f>
        <v>0.87429070274989085</v>
      </c>
      <c r="S239" s="22">
        <f>IF(Tabell2[[#This Row],[Inntekt]]&lt;=J$434,J$434,IF(Tabell2[[#This Row],[Inntekt]]&gt;=J$435,J$435,Tabell2[[#This Row],[Inntekt]]))</f>
        <v>375500</v>
      </c>
      <c r="T239" s="22">
        <f>IF(Tabell2[[#This Row],[NIBR11-T]]&lt;=K$437,100,IF(Tabell2[[#This Row],[NIBR11-T]]&gt;=K$436,0,100*(K$436-Tabell2[[#This Row],[NIBR11-T]])/K$439))</f>
        <v>20</v>
      </c>
      <c r="U239" s="7">
        <f>IF(Tabell2[[#This Row],[ReisetidOslo-T]]&lt;=L$437,100,IF(Tabell2[[#This Row],[ReisetidOslo-T]]&gt;=L$436,0,100*(L$436-Tabell2[[#This Row],[ReisetidOslo-T]])/L$439))</f>
        <v>35.915173674595231</v>
      </c>
      <c r="V239" s="7">
        <f>100-(M$436-Tabell2[[#This Row],[Beftettotal-T]])*100/M$439</f>
        <v>2.5332676768307891</v>
      </c>
      <c r="W239" s="7">
        <f>100-(N$436-Tabell2[[#This Row],[Befvekst10-T]])*100/N$439</f>
        <v>0.89748922943066134</v>
      </c>
      <c r="X239" s="7">
        <f>100-(O$436-Tabell2[[#This Row],[Kvinneandel-T]])*100/O$439</f>
        <v>8.0791656496469528</v>
      </c>
      <c r="Y239" s="7">
        <f>(P$436-Tabell2[[#This Row],[Eldreandel-T]])*100/P$439</f>
        <v>35.685075294196118</v>
      </c>
      <c r="Z239" s="7">
        <f>100-(Q$436-Tabell2[[#This Row],[Sysselsettingsvekst10-T]])*100/Q$439</f>
        <v>0</v>
      </c>
      <c r="AA239" s="7">
        <f>100-(R$436-Tabell2[[#This Row],[Yrkesaktivandel-T]])*100/R$439</f>
        <v>32.535788385932236</v>
      </c>
      <c r="AB239" s="7">
        <f>100-(S$436-Tabell2[[#This Row],[Inntekt-T]])*100/S$439</f>
        <v>50.917111678662643</v>
      </c>
      <c r="AC239" s="55">
        <f>Tabell2[[#This Row],[NIBR11-I]]*Vekter!$B$3</f>
        <v>4</v>
      </c>
      <c r="AD239" s="55">
        <f>Tabell2[[#This Row],[ReisetidOslo-I]]*Vekter!$C$3</f>
        <v>3.5915173674595233</v>
      </c>
      <c r="AE239" s="55">
        <f>Tabell2[[#This Row],[Beftettotal-I]]*Vekter!$D$3</f>
        <v>0.25332676768307894</v>
      </c>
      <c r="AF239" s="55">
        <f>Tabell2[[#This Row],[Befvekst10-I]]*Vekter!$E$3</f>
        <v>0.17949784588613227</v>
      </c>
      <c r="AG239" s="55">
        <f>Tabell2[[#This Row],[Kvinneandel-I]]*Vekter!$F$3</f>
        <v>0.40395828248234766</v>
      </c>
      <c r="AH239" s="55">
        <f>Tabell2[[#This Row],[Eldreandel-I]]*Vekter!$G$3</f>
        <v>1.784253764709806</v>
      </c>
      <c r="AI239" s="55">
        <f>Tabell2[[#This Row],[Sysselsettingsvekst10-I]]*Vekter!$H$3</f>
        <v>0</v>
      </c>
      <c r="AJ239" s="55">
        <f>Tabell2[[#This Row],[Yrkesaktivandel-I]]*Vekter!$J$3</f>
        <v>3.2535788385932238</v>
      </c>
      <c r="AK239" s="55">
        <f>Tabell2[[#This Row],[Inntekt-I]]*Vekter!$L$3</f>
        <v>5.091711167866265</v>
      </c>
      <c r="AL239" s="56">
        <f>SUM(Tabell2[[#This Row],[NIBR11-v]:[Inntekt-v]])</f>
        <v>18.557844034680379</v>
      </c>
    </row>
    <row r="240" spans="1:38" x14ac:dyDescent="0.25">
      <c r="A240" s="2" t="s">
        <v>237</v>
      </c>
      <c r="B240">
        <f>'Rådata-K'!M239</f>
        <v>11</v>
      </c>
      <c r="C240" s="7">
        <f>'Rådata-K'!L239</f>
        <v>219.36666666669998</v>
      </c>
      <c r="D240" s="34">
        <f>'Rådata-K'!N239</f>
        <v>3.2136128544514175</v>
      </c>
      <c r="E240" s="34">
        <f>'Rådata-K'!O239</f>
        <v>-7.0461645262061778E-2</v>
      </c>
      <c r="F240" s="34">
        <f>'Rådata-K'!P239</f>
        <v>9.4846900672143394E-2</v>
      </c>
      <c r="G240" s="34">
        <f>'Rådata-K'!Q239</f>
        <v>0.21844660194174756</v>
      </c>
      <c r="H240" s="34">
        <f>'Rådata-K'!R239</f>
        <v>-2.4031007751938005E-2</v>
      </c>
      <c r="I240" s="34">
        <f>'Rådata-K'!S239</f>
        <v>1.0142348754448398</v>
      </c>
      <c r="J240" s="22">
        <f>'Rådata-K'!K239</f>
        <v>363500</v>
      </c>
      <c r="K240" s="22">
        <f>Tabell2[[#This Row],[NIBR11]]</f>
        <v>11</v>
      </c>
      <c r="L240" s="32">
        <f>IF(Tabell2[[#This Row],[ReisetidOslo]]&lt;=C$434,C$434,IF(Tabell2[[#This Row],[ReisetidOslo]]&gt;=C$435,C$435,Tabell2[[#This Row],[ReisetidOslo]]))</f>
        <v>219.36666666669998</v>
      </c>
      <c r="M240" s="32">
        <f>IF(Tabell2[[#This Row],[Beftettotal]]&lt;=D$434,D$434,IF(Tabell2[[#This Row],[Beftettotal]]&gt;=D$435,D$435,Tabell2[[#This Row],[Beftettotal]]))</f>
        <v>3.2136128544514175</v>
      </c>
      <c r="N240" s="34">
        <f>IF(Tabell2[[#This Row],[Befvekst10]]&lt;=E$434,E$434,IF(Tabell2[[#This Row],[Befvekst10]]&gt;=E$435,E$435,Tabell2[[#This Row],[Befvekst10]]))</f>
        <v>-7.0461645262061778E-2</v>
      </c>
      <c r="O240" s="34">
        <f>IF(Tabell2[[#This Row],[Kvinneandel]]&lt;=F$434,F$434,IF(Tabell2[[#This Row],[Kvinneandel]]&gt;=F$435,F$435,Tabell2[[#This Row],[Kvinneandel]]))</f>
        <v>9.4846900672143394E-2</v>
      </c>
      <c r="P240" s="34">
        <f>IF(Tabell2[[#This Row],[Eldreandel]]&lt;=G$434,G$434,IF(Tabell2[[#This Row],[Eldreandel]]&gt;=G$435,G$435,Tabell2[[#This Row],[Eldreandel]]))</f>
        <v>0.21438492803547596</v>
      </c>
      <c r="Q240" s="34">
        <f>IF(Tabell2[[#This Row],[Sysselsettingsvekst10]]&lt;=H$434,H$434,IF(Tabell2[[#This Row],[Sysselsettingsvekst10]]&gt;=H$435,H$435,Tabell2[[#This Row],[Sysselsettingsvekst10]]))</f>
        <v>-2.4031007751938005E-2</v>
      </c>
      <c r="R240" s="34">
        <f>IF(Tabell2[[#This Row],[Yrkesaktivandel]]&lt;=I$434,I$434,IF(Tabell2[[#This Row],[Yrkesaktivandel]]&gt;=I$435,I$435,Tabell2[[#This Row],[Yrkesaktivandel]]))</f>
        <v>0.96203284815106216</v>
      </c>
      <c r="S240" s="22">
        <f>IF(Tabell2[[#This Row],[Inntekt]]&lt;=J$434,J$434,IF(Tabell2[[#This Row],[Inntekt]]&gt;=J$435,J$435,Tabell2[[#This Row],[Inntekt]]))</f>
        <v>363500</v>
      </c>
      <c r="T240" s="22">
        <f>IF(Tabell2[[#This Row],[NIBR11-T]]&lt;=K$437,100,IF(Tabell2[[#This Row],[NIBR11-T]]&gt;=K$436,0,100*(K$436-Tabell2[[#This Row],[NIBR11-T]])/K$439))</f>
        <v>0</v>
      </c>
      <c r="U240" s="7">
        <f>IF(Tabell2[[#This Row],[ReisetidOslo-T]]&lt;=L$437,100,IF(Tabell2[[#This Row],[ReisetidOslo-T]]&gt;=L$436,0,100*(L$436-Tabell2[[#This Row],[ReisetidOslo-T]])/L$439))</f>
        <v>26.803656307122679</v>
      </c>
      <c r="V240" s="7">
        <f>100-(M$436-Tabell2[[#This Row],[Beftettotal-T]])*100/M$439</f>
        <v>1.4572841425195548</v>
      </c>
      <c r="W240" s="7">
        <f>100-(N$436-Tabell2[[#This Row],[Befvekst10-T]])*100/N$439</f>
        <v>2.3089238026317531</v>
      </c>
      <c r="X240" s="7">
        <f>100-(O$436-Tabell2[[#This Row],[Kvinneandel-T]])*100/O$439</f>
        <v>11.512508357303943</v>
      </c>
      <c r="Y240" s="7">
        <f>(P$436-Tabell2[[#This Row],[Eldreandel-T]])*100/P$439</f>
        <v>0</v>
      </c>
      <c r="Z240" s="7">
        <f>100-(Q$436-Tabell2[[#This Row],[Sysselsettingsvekst10-T]])*100/Q$439</f>
        <v>13.598354741317522</v>
      </c>
      <c r="AA240" s="7">
        <f>100-(R$436-Tabell2[[#This Row],[Yrkesaktivandel-T]])*100/R$439</f>
        <v>100</v>
      </c>
      <c r="AB240" s="7">
        <f>100-(S$436-Tabell2[[#This Row],[Inntekt-T]])*100/S$439</f>
        <v>36.986301369863014</v>
      </c>
      <c r="AC240" s="55">
        <f>Tabell2[[#This Row],[NIBR11-I]]*Vekter!$B$3</f>
        <v>0</v>
      </c>
      <c r="AD240" s="55">
        <f>Tabell2[[#This Row],[ReisetidOslo-I]]*Vekter!$C$3</f>
        <v>2.6803656307122683</v>
      </c>
      <c r="AE240" s="55">
        <f>Tabell2[[#This Row],[Beftettotal-I]]*Vekter!$D$3</f>
        <v>0.14572841425195548</v>
      </c>
      <c r="AF240" s="55">
        <f>Tabell2[[#This Row],[Befvekst10-I]]*Vekter!$E$3</f>
        <v>0.46178476052635065</v>
      </c>
      <c r="AG240" s="55">
        <f>Tabell2[[#This Row],[Kvinneandel-I]]*Vekter!$F$3</f>
        <v>0.57562541786519716</v>
      </c>
      <c r="AH240" s="55">
        <f>Tabell2[[#This Row],[Eldreandel-I]]*Vekter!$G$3</f>
        <v>0</v>
      </c>
      <c r="AI240" s="55">
        <f>Tabell2[[#This Row],[Sysselsettingsvekst10-I]]*Vekter!$H$3</f>
        <v>1.3598354741317522</v>
      </c>
      <c r="AJ240" s="55">
        <f>Tabell2[[#This Row],[Yrkesaktivandel-I]]*Vekter!$J$3</f>
        <v>10</v>
      </c>
      <c r="AK240" s="55">
        <f>Tabell2[[#This Row],[Inntekt-I]]*Vekter!$L$3</f>
        <v>3.6986301369863015</v>
      </c>
      <c r="AL240" s="56">
        <f>SUM(Tabell2[[#This Row],[NIBR11-v]:[Inntekt-v]])</f>
        <v>18.921969834473828</v>
      </c>
    </row>
    <row r="241" spans="1:38" x14ac:dyDescent="0.25">
      <c r="A241" s="2" t="s">
        <v>238</v>
      </c>
      <c r="B241">
        <f>'Rådata-K'!M240</f>
        <v>9</v>
      </c>
      <c r="C241" s="7">
        <f>'Rådata-K'!L240</f>
        <v>208.61666666669998</v>
      </c>
      <c r="D241" s="34">
        <f>'Rådata-K'!N240</f>
        <v>3.0348872390439174</v>
      </c>
      <c r="E241" s="34">
        <f>'Rådata-K'!O240</f>
        <v>-8.8749126484975571E-2</v>
      </c>
      <c r="F241" s="34">
        <f>'Rådata-K'!P240</f>
        <v>0.10966257668711657</v>
      </c>
      <c r="G241" s="34">
        <f>'Rådata-K'!Q240</f>
        <v>0.17638036809815952</v>
      </c>
      <c r="H241" s="34">
        <f>'Rådata-K'!R240</f>
        <v>-4.3551088777219471E-2</v>
      </c>
      <c r="I241" s="34">
        <f>'Rådata-K'!S240</f>
        <v>0.9623655913978495</v>
      </c>
      <c r="J241" s="22">
        <f>'Rådata-K'!K240</f>
        <v>349900</v>
      </c>
      <c r="K241" s="22">
        <f>Tabell2[[#This Row],[NIBR11]]</f>
        <v>9</v>
      </c>
      <c r="L241" s="32">
        <f>IF(Tabell2[[#This Row],[ReisetidOslo]]&lt;=C$434,C$434,IF(Tabell2[[#This Row],[ReisetidOslo]]&gt;=C$435,C$435,Tabell2[[#This Row],[ReisetidOslo]]))</f>
        <v>208.61666666669998</v>
      </c>
      <c r="M241" s="32">
        <f>IF(Tabell2[[#This Row],[Beftettotal]]&lt;=D$434,D$434,IF(Tabell2[[#This Row],[Beftettotal]]&gt;=D$435,D$435,Tabell2[[#This Row],[Beftettotal]]))</f>
        <v>3.0348872390439174</v>
      </c>
      <c r="N241" s="34">
        <f>IF(Tabell2[[#This Row],[Befvekst10]]&lt;=E$434,E$434,IF(Tabell2[[#This Row],[Befvekst10]]&gt;=E$435,E$435,Tabell2[[#This Row],[Befvekst10]]))</f>
        <v>-7.6196156394963507E-2</v>
      </c>
      <c r="O241" s="34">
        <f>IF(Tabell2[[#This Row],[Kvinneandel]]&lt;=F$434,F$434,IF(Tabell2[[#This Row],[Kvinneandel]]&gt;=F$435,F$435,Tabell2[[#This Row],[Kvinneandel]]))</f>
        <v>0.10966257668711657</v>
      </c>
      <c r="P241" s="34">
        <f>IF(Tabell2[[#This Row],[Eldreandel]]&lt;=G$434,G$434,IF(Tabell2[[#This Row],[Eldreandel]]&gt;=G$435,G$435,Tabell2[[#This Row],[Eldreandel]]))</f>
        <v>0.17638036809815952</v>
      </c>
      <c r="Q241" s="34">
        <f>IF(Tabell2[[#This Row],[Sysselsettingsvekst10]]&lt;=H$434,H$434,IF(Tabell2[[#This Row],[Sysselsettingsvekst10]]&gt;=H$435,H$435,Tabell2[[#This Row],[Sysselsettingsvekst10]]))</f>
        <v>-4.3551088777219471E-2</v>
      </c>
      <c r="R241" s="34">
        <f>IF(Tabell2[[#This Row],[Yrkesaktivandel]]&lt;=I$434,I$434,IF(Tabell2[[#This Row],[Yrkesaktivandel]]&gt;=I$435,I$435,Tabell2[[#This Row],[Yrkesaktivandel]]))</f>
        <v>0.96203284815106216</v>
      </c>
      <c r="S241" s="22">
        <f>IF(Tabell2[[#This Row],[Inntekt]]&lt;=J$434,J$434,IF(Tabell2[[#This Row],[Inntekt]]&gt;=J$435,J$435,Tabell2[[#This Row],[Inntekt]]))</f>
        <v>349900</v>
      </c>
      <c r="T241" s="22">
        <f>IF(Tabell2[[#This Row],[NIBR11-T]]&lt;=K$437,100,IF(Tabell2[[#This Row],[NIBR11-T]]&gt;=K$436,0,100*(K$436-Tabell2[[#This Row],[NIBR11-T]])/K$439))</f>
        <v>20</v>
      </c>
      <c r="U241" s="7">
        <f>IF(Tabell2[[#This Row],[ReisetidOslo-T]]&lt;=L$437,100,IF(Tabell2[[#This Row],[ReisetidOslo-T]]&gt;=L$436,0,100*(L$436-Tabell2[[#This Row],[ReisetidOslo-T]])/L$439))</f>
        <v>31.520292504562782</v>
      </c>
      <c r="V241" s="7">
        <f>100-(M$436-Tabell2[[#This Row],[Beftettotal-T]])*100/M$439</f>
        <v>1.3190272288657496</v>
      </c>
      <c r="W241" s="7">
        <f>100-(N$436-Tabell2[[#This Row],[Befvekst10-T]])*100/N$439</f>
        <v>0</v>
      </c>
      <c r="X241" s="7">
        <f>100-(O$436-Tabell2[[#This Row],[Kvinneandel-T]])*100/O$439</f>
        <v>50.662657682097091</v>
      </c>
      <c r="Y241" s="7">
        <f>(P$436-Tabell2[[#This Row],[Eldreandel-T]])*100/P$439</f>
        <v>41.643570218437631</v>
      </c>
      <c r="Z241" s="7">
        <f>100-(Q$436-Tabell2[[#This Row],[Sysselsettingsvekst10-T]])*100/Q$439</f>
        <v>7.790332173753896</v>
      </c>
      <c r="AA241" s="7">
        <f>100-(R$436-Tabell2[[#This Row],[Yrkesaktivandel-T]])*100/R$439</f>
        <v>100</v>
      </c>
      <c r="AB241" s="7">
        <f>100-(S$436-Tabell2[[#This Row],[Inntekt-T]])*100/S$439</f>
        <v>21.198049686556772</v>
      </c>
      <c r="AC241" s="55">
        <f>Tabell2[[#This Row],[NIBR11-I]]*Vekter!$B$3</f>
        <v>4</v>
      </c>
      <c r="AD241" s="55">
        <f>Tabell2[[#This Row],[ReisetidOslo-I]]*Vekter!$C$3</f>
        <v>3.1520292504562786</v>
      </c>
      <c r="AE241" s="55">
        <f>Tabell2[[#This Row],[Beftettotal-I]]*Vekter!$D$3</f>
        <v>0.13190272288657498</v>
      </c>
      <c r="AF241" s="55">
        <f>Tabell2[[#This Row],[Befvekst10-I]]*Vekter!$E$3</f>
        <v>0</v>
      </c>
      <c r="AG241" s="55">
        <f>Tabell2[[#This Row],[Kvinneandel-I]]*Vekter!$F$3</f>
        <v>2.5331328841048548</v>
      </c>
      <c r="AH241" s="55">
        <f>Tabell2[[#This Row],[Eldreandel-I]]*Vekter!$G$3</f>
        <v>2.0821785109218816</v>
      </c>
      <c r="AI241" s="55">
        <f>Tabell2[[#This Row],[Sysselsettingsvekst10-I]]*Vekter!$H$3</f>
        <v>0.77903321737538966</v>
      </c>
      <c r="AJ241" s="55">
        <f>Tabell2[[#This Row],[Yrkesaktivandel-I]]*Vekter!$J$3</f>
        <v>10</v>
      </c>
      <c r="AK241" s="55">
        <f>Tabell2[[#This Row],[Inntekt-I]]*Vekter!$L$3</f>
        <v>2.1198049686556772</v>
      </c>
      <c r="AL241" s="56">
        <f>SUM(Tabell2[[#This Row],[NIBR11-v]:[Inntekt-v]])</f>
        <v>24.798081554400657</v>
      </c>
    </row>
    <row r="242" spans="1:38" x14ac:dyDescent="0.25">
      <c r="A242" s="2" t="s">
        <v>239</v>
      </c>
      <c r="B242">
        <f>'Rådata-K'!M241</f>
        <v>8</v>
      </c>
      <c r="C242" s="7">
        <f>'Rådata-K'!L241</f>
        <v>180.11666666669998</v>
      </c>
      <c r="D242" s="34">
        <f>'Rådata-K'!N241</f>
        <v>12.63742365352582</v>
      </c>
      <c r="E242" s="34">
        <f>'Rådata-K'!O241</f>
        <v>3.0330466274332224E-2</v>
      </c>
      <c r="F242" s="34">
        <f>'Rådata-K'!P241</f>
        <v>0.11599297012302284</v>
      </c>
      <c r="G242" s="34">
        <f>'Rådata-K'!Q241</f>
        <v>0.16388400702987699</v>
      </c>
      <c r="H242" s="34">
        <f>'Rådata-K'!R241</f>
        <v>0.10418049104180493</v>
      </c>
      <c r="I242" s="34">
        <f>'Rådata-K'!S241</f>
        <v>0.96249002394253791</v>
      </c>
      <c r="J242" s="22">
        <f>'Rådata-K'!K241</f>
        <v>401400</v>
      </c>
      <c r="K242" s="22">
        <f>Tabell2[[#This Row],[NIBR11]]</f>
        <v>8</v>
      </c>
      <c r="L242" s="32">
        <f>IF(Tabell2[[#This Row],[ReisetidOslo]]&lt;=C$434,C$434,IF(Tabell2[[#This Row],[ReisetidOslo]]&gt;=C$435,C$435,Tabell2[[#This Row],[ReisetidOslo]]))</f>
        <v>180.11666666669998</v>
      </c>
      <c r="M242" s="32">
        <f>IF(Tabell2[[#This Row],[Beftettotal]]&lt;=D$434,D$434,IF(Tabell2[[#This Row],[Beftettotal]]&gt;=D$435,D$435,Tabell2[[#This Row],[Beftettotal]]))</f>
        <v>12.63742365352582</v>
      </c>
      <c r="N242" s="34">
        <f>IF(Tabell2[[#This Row],[Befvekst10]]&lt;=E$434,E$434,IF(Tabell2[[#This Row],[Befvekst10]]&gt;=E$435,E$435,Tabell2[[#This Row],[Befvekst10]]))</f>
        <v>3.0330466274332224E-2</v>
      </c>
      <c r="O242" s="34">
        <f>IF(Tabell2[[#This Row],[Kvinneandel]]&lt;=F$434,F$434,IF(Tabell2[[#This Row],[Kvinneandel]]&gt;=F$435,F$435,Tabell2[[#This Row],[Kvinneandel]]))</f>
        <v>0.11599297012302284</v>
      </c>
      <c r="P242" s="34">
        <f>IF(Tabell2[[#This Row],[Eldreandel]]&lt;=G$434,G$434,IF(Tabell2[[#This Row],[Eldreandel]]&gt;=G$435,G$435,Tabell2[[#This Row],[Eldreandel]]))</f>
        <v>0.16388400702987699</v>
      </c>
      <c r="Q242" s="34">
        <f>IF(Tabell2[[#This Row],[Sysselsettingsvekst10]]&lt;=H$434,H$434,IF(Tabell2[[#This Row],[Sysselsettingsvekst10]]&gt;=H$435,H$435,Tabell2[[#This Row],[Sysselsettingsvekst10]]))</f>
        <v>0.10418049104180493</v>
      </c>
      <c r="R242" s="34">
        <f>IF(Tabell2[[#This Row],[Yrkesaktivandel]]&lt;=I$434,I$434,IF(Tabell2[[#This Row],[Yrkesaktivandel]]&gt;=I$435,I$435,Tabell2[[#This Row],[Yrkesaktivandel]]))</f>
        <v>0.96203284815106216</v>
      </c>
      <c r="S242" s="22">
        <f>IF(Tabell2[[#This Row],[Inntekt]]&lt;=J$434,J$434,IF(Tabell2[[#This Row],[Inntekt]]&gt;=J$435,J$435,Tabell2[[#This Row],[Inntekt]]))</f>
        <v>401400</v>
      </c>
      <c r="T242" s="22">
        <f>IF(Tabell2[[#This Row],[NIBR11-T]]&lt;=K$437,100,IF(Tabell2[[#This Row],[NIBR11-T]]&gt;=K$436,0,100*(K$436-Tabell2[[#This Row],[NIBR11-T]])/K$439))</f>
        <v>30</v>
      </c>
      <c r="U242" s="7">
        <f>IF(Tabell2[[#This Row],[ReisetidOslo-T]]&lt;=L$437,100,IF(Tabell2[[#This Row],[ReisetidOslo-T]]&gt;=L$436,0,100*(L$436-Tabell2[[#This Row],[ReisetidOslo-T]])/L$439))</f>
        <v>44.024862888473749</v>
      </c>
      <c r="V242" s="7">
        <f>100-(M$436-Tabell2[[#This Row],[Beftettotal-T]])*100/M$439</f>
        <v>8.7472688096119384</v>
      </c>
      <c r="W242" s="7">
        <f>100-(N$436-Tabell2[[#This Row],[Befvekst10-T]])*100/N$439</f>
        <v>42.891512283218518</v>
      </c>
      <c r="X242" s="7">
        <f>100-(O$436-Tabell2[[#This Row],[Kvinneandel-T]])*100/O$439</f>
        <v>67.390605029889429</v>
      </c>
      <c r="Y242" s="7">
        <f>(P$436-Tabell2[[#This Row],[Eldreandel-T]])*100/P$439</f>
        <v>55.336482081653365</v>
      </c>
      <c r="Z242" s="7">
        <f>100-(Q$436-Tabell2[[#This Row],[Sysselsettingsvekst10-T]])*100/Q$439</f>
        <v>51.746520081962117</v>
      </c>
      <c r="AA242" s="7">
        <f>100-(R$436-Tabell2[[#This Row],[Yrkesaktivandel-T]])*100/R$439</f>
        <v>100</v>
      </c>
      <c r="AB242" s="7">
        <f>100-(S$436-Tabell2[[#This Row],[Inntekt-T]])*100/S$439</f>
        <v>80.984443928488503</v>
      </c>
      <c r="AC242" s="55">
        <f>Tabell2[[#This Row],[NIBR11-I]]*Vekter!$B$3</f>
        <v>6</v>
      </c>
      <c r="AD242" s="55">
        <f>Tabell2[[#This Row],[ReisetidOslo-I]]*Vekter!$C$3</f>
        <v>4.402486288847375</v>
      </c>
      <c r="AE242" s="55">
        <f>Tabell2[[#This Row],[Beftettotal-I]]*Vekter!$D$3</f>
        <v>0.87472688096119389</v>
      </c>
      <c r="AF242" s="55">
        <f>Tabell2[[#This Row],[Befvekst10-I]]*Vekter!$E$3</f>
        <v>8.5783024566437032</v>
      </c>
      <c r="AG242" s="55">
        <f>Tabell2[[#This Row],[Kvinneandel-I]]*Vekter!$F$3</f>
        <v>3.3695302514944716</v>
      </c>
      <c r="AH242" s="55">
        <f>Tabell2[[#This Row],[Eldreandel-I]]*Vekter!$G$3</f>
        <v>2.7668241040826684</v>
      </c>
      <c r="AI242" s="55">
        <f>Tabell2[[#This Row],[Sysselsettingsvekst10-I]]*Vekter!$H$3</f>
        <v>5.1746520081962117</v>
      </c>
      <c r="AJ242" s="55">
        <f>Tabell2[[#This Row],[Yrkesaktivandel-I]]*Vekter!$J$3</f>
        <v>10</v>
      </c>
      <c r="AK242" s="55">
        <f>Tabell2[[#This Row],[Inntekt-I]]*Vekter!$L$3</f>
        <v>8.098444392848851</v>
      </c>
      <c r="AL242" s="56">
        <f>SUM(Tabell2[[#This Row],[NIBR11-v]:[Inntekt-v]])</f>
        <v>49.26496638307448</v>
      </c>
    </row>
    <row r="243" spans="1:38" x14ac:dyDescent="0.25">
      <c r="A243" s="2" t="s">
        <v>240</v>
      </c>
      <c r="B243">
        <f>'Rådata-K'!M242</f>
        <v>8</v>
      </c>
      <c r="C243" s="7">
        <f>'Rådata-K'!L242</f>
        <v>163.5833333333</v>
      </c>
      <c r="D243" s="34">
        <f>'Rådata-K'!N242</f>
        <v>10.293230360806081</v>
      </c>
      <c r="E243" s="34">
        <f>'Rådata-K'!O242</f>
        <v>0.1299676184869003</v>
      </c>
      <c r="F243" s="34">
        <f>'Rådata-K'!P242</f>
        <v>0.14263384134427512</v>
      </c>
      <c r="G243" s="34">
        <f>'Rådata-K'!Q242</f>
        <v>0.13859580565324997</v>
      </c>
      <c r="H243" s="34">
        <f>'Rådata-K'!R242</f>
        <v>0.19209630986652715</v>
      </c>
      <c r="I243" s="34">
        <f>'Rådata-K'!S242</f>
        <v>0.93559693318729464</v>
      </c>
      <c r="J243" s="22">
        <f>'Rådata-K'!K242</f>
        <v>371000</v>
      </c>
      <c r="K243" s="22">
        <f>Tabell2[[#This Row],[NIBR11]]</f>
        <v>8</v>
      </c>
      <c r="L243" s="32">
        <f>IF(Tabell2[[#This Row],[ReisetidOslo]]&lt;=C$434,C$434,IF(Tabell2[[#This Row],[ReisetidOslo]]&gt;=C$435,C$435,Tabell2[[#This Row],[ReisetidOslo]]))</f>
        <v>163.5833333333</v>
      </c>
      <c r="M243" s="32">
        <f>IF(Tabell2[[#This Row],[Beftettotal]]&lt;=D$434,D$434,IF(Tabell2[[#This Row],[Beftettotal]]&gt;=D$435,D$435,Tabell2[[#This Row],[Beftettotal]]))</f>
        <v>10.293230360806081</v>
      </c>
      <c r="N243" s="34">
        <f>IF(Tabell2[[#This Row],[Befvekst10]]&lt;=E$434,E$434,IF(Tabell2[[#This Row],[Befvekst10]]&gt;=E$435,E$435,Tabell2[[#This Row],[Befvekst10]]))</f>
        <v>0.1299676184869003</v>
      </c>
      <c r="O243" s="34">
        <f>IF(Tabell2[[#This Row],[Kvinneandel]]&lt;=F$434,F$434,IF(Tabell2[[#This Row],[Kvinneandel]]&gt;=F$435,F$435,Tabell2[[#This Row],[Kvinneandel]]))</f>
        <v>0.12833341426573511</v>
      </c>
      <c r="P243" s="34">
        <f>IF(Tabell2[[#This Row],[Eldreandel]]&lt;=G$434,G$434,IF(Tabell2[[#This Row],[Eldreandel]]&gt;=G$435,G$435,Tabell2[[#This Row],[Eldreandel]]))</f>
        <v>0.13859580565324997</v>
      </c>
      <c r="Q243" s="34">
        <f>IF(Tabell2[[#This Row],[Sysselsettingsvekst10]]&lt;=H$434,H$434,IF(Tabell2[[#This Row],[Sysselsettingsvekst10]]&gt;=H$435,H$435,Tabell2[[#This Row],[Sysselsettingsvekst10]]))</f>
        <v>0.19209630986652715</v>
      </c>
      <c r="R243" s="34">
        <f>IF(Tabell2[[#This Row],[Yrkesaktivandel]]&lt;=I$434,I$434,IF(Tabell2[[#This Row],[Yrkesaktivandel]]&gt;=I$435,I$435,Tabell2[[#This Row],[Yrkesaktivandel]]))</f>
        <v>0.93559693318729464</v>
      </c>
      <c r="S243" s="22">
        <f>IF(Tabell2[[#This Row],[Inntekt]]&lt;=J$434,J$434,IF(Tabell2[[#This Row],[Inntekt]]&gt;=J$435,J$435,Tabell2[[#This Row],[Inntekt]]))</f>
        <v>371000</v>
      </c>
      <c r="T243" s="22">
        <f>IF(Tabell2[[#This Row],[NIBR11-T]]&lt;=K$437,100,IF(Tabell2[[#This Row],[NIBR11-T]]&gt;=K$436,0,100*(K$436-Tabell2[[#This Row],[NIBR11-T]])/K$439))</f>
        <v>30</v>
      </c>
      <c r="U243" s="7">
        <f>IF(Tabell2[[#This Row],[ReisetidOslo-T]]&lt;=L$437,100,IF(Tabell2[[#This Row],[ReisetidOslo-T]]&gt;=L$436,0,100*(L$436-Tabell2[[#This Row],[ReisetidOslo-T]])/L$439))</f>
        <v>51.278976234023268</v>
      </c>
      <c r="V243" s="7">
        <f>100-(M$436-Tabell2[[#This Row],[Beftettotal-T]])*100/M$439</f>
        <v>6.9338693765178334</v>
      </c>
      <c r="W243" s="7">
        <f>100-(N$436-Tabell2[[#This Row],[Befvekst10-T]])*100/N$439</f>
        <v>83.009071921407042</v>
      </c>
      <c r="X243" s="7">
        <f>100-(O$436-Tabell2[[#This Row],[Kvinneandel-T]])*100/O$439</f>
        <v>100</v>
      </c>
      <c r="Y243" s="7">
        <f>(P$436-Tabell2[[#This Row],[Eldreandel-T]])*100/P$439</f>
        <v>83.046077758132569</v>
      </c>
      <c r="Z243" s="7">
        <f>100-(Q$436-Tabell2[[#This Row],[Sysselsettingsvekst10-T]])*100/Q$439</f>
        <v>77.905072350187623</v>
      </c>
      <c r="AA243" s="7">
        <f>100-(R$436-Tabell2[[#This Row],[Yrkesaktivandel-T]])*100/R$439</f>
        <v>79.673643114460432</v>
      </c>
      <c r="AB243" s="7">
        <f>100-(S$436-Tabell2[[#This Row],[Inntekt-T]])*100/S$439</f>
        <v>45.693057812862783</v>
      </c>
      <c r="AC243" s="55">
        <f>Tabell2[[#This Row],[NIBR11-I]]*Vekter!$B$3</f>
        <v>6</v>
      </c>
      <c r="AD243" s="55">
        <f>Tabell2[[#This Row],[ReisetidOslo-I]]*Vekter!$C$3</f>
        <v>5.127897623402327</v>
      </c>
      <c r="AE243" s="55">
        <f>Tabell2[[#This Row],[Beftettotal-I]]*Vekter!$D$3</f>
        <v>0.69338693765178339</v>
      </c>
      <c r="AF243" s="55">
        <f>Tabell2[[#This Row],[Befvekst10-I]]*Vekter!$E$3</f>
        <v>16.601814384281408</v>
      </c>
      <c r="AG243" s="55">
        <f>Tabell2[[#This Row],[Kvinneandel-I]]*Vekter!$F$3</f>
        <v>5</v>
      </c>
      <c r="AH243" s="55">
        <f>Tabell2[[#This Row],[Eldreandel-I]]*Vekter!$G$3</f>
        <v>4.152303887906629</v>
      </c>
      <c r="AI243" s="55">
        <f>Tabell2[[#This Row],[Sysselsettingsvekst10-I]]*Vekter!$H$3</f>
        <v>7.7905072350187625</v>
      </c>
      <c r="AJ243" s="55">
        <f>Tabell2[[#This Row],[Yrkesaktivandel-I]]*Vekter!$J$3</f>
        <v>7.967364311446044</v>
      </c>
      <c r="AK243" s="55">
        <f>Tabell2[[#This Row],[Inntekt-I]]*Vekter!$L$3</f>
        <v>4.5693057812862783</v>
      </c>
      <c r="AL243" s="56">
        <f>SUM(Tabell2[[#This Row],[NIBR11-v]:[Inntekt-v]])</f>
        <v>57.902580160993224</v>
      </c>
    </row>
    <row r="244" spans="1:38" x14ac:dyDescent="0.25">
      <c r="A244" s="2" t="s">
        <v>241</v>
      </c>
      <c r="B244">
        <f>'Rådata-K'!M243</f>
        <v>11</v>
      </c>
      <c r="C244" s="7">
        <f>'Rådata-K'!L243</f>
        <v>204.8166666667</v>
      </c>
      <c r="D244" s="34">
        <f>'Rådata-K'!N243</f>
        <v>1.1842383194445389</v>
      </c>
      <c r="E244" s="34">
        <f>'Rådata-K'!O243</f>
        <v>-2.5238362310712303E-2</v>
      </c>
      <c r="F244" s="34">
        <f>'Rådata-K'!P243</f>
        <v>0.119102416570771</v>
      </c>
      <c r="G244" s="34">
        <f>'Rådata-K'!Q243</f>
        <v>0.18469505178365939</v>
      </c>
      <c r="H244" s="34">
        <f>'Rådata-K'!R243</f>
        <v>9.4478527607361862E-2</v>
      </c>
      <c r="I244" s="34">
        <f>'Rådata-K'!S243</f>
        <v>0.92051030421982338</v>
      </c>
      <c r="J244" s="22">
        <f>'Rådata-K'!K243</f>
        <v>370500</v>
      </c>
      <c r="K244" s="22">
        <f>Tabell2[[#This Row],[NIBR11]]</f>
        <v>11</v>
      </c>
      <c r="L244" s="32">
        <f>IF(Tabell2[[#This Row],[ReisetidOslo]]&lt;=C$434,C$434,IF(Tabell2[[#This Row],[ReisetidOslo]]&gt;=C$435,C$435,Tabell2[[#This Row],[ReisetidOslo]]))</f>
        <v>204.8166666667</v>
      </c>
      <c r="M244" s="32">
        <f>IF(Tabell2[[#This Row],[Beftettotal]]&lt;=D$434,D$434,IF(Tabell2[[#This Row],[Beftettotal]]&gt;=D$435,D$435,Tabell2[[#This Row],[Beftettotal]]))</f>
        <v>1.3297721240876861</v>
      </c>
      <c r="N244" s="34">
        <f>IF(Tabell2[[#This Row],[Befvekst10]]&lt;=E$434,E$434,IF(Tabell2[[#This Row],[Befvekst10]]&gt;=E$435,E$435,Tabell2[[#This Row],[Befvekst10]]))</f>
        <v>-2.5238362310712303E-2</v>
      </c>
      <c r="O244" s="34">
        <f>IF(Tabell2[[#This Row],[Kvinneandel]]&lt;=F$434,F$434,IF(Tabell2[[#This Row],[Kvinneandel]]&gt;=F$435,F$435,Tabell2[[#This Row],[Kvinneandel]]))</f>
        <v>0.119102416570771</v>
      </c>
      <c r="P244" s="34">
        <f>IF(Tabell2[[#This Row],[Eldreandel]]&lt;=G$434,G$434,IF(Tabell2[[#This Row],[Eldreandel]]&gt;=G$435,G$435,Tabell2[[#This Row],[Eldreandel]]))</f>
        <v>0.18469505178365939</v>
      </c>
      <c r="Q244" s="34">
        <f>IF(Tabell2[[#This Row],[Sysselsettingsvekst10]]&lt;=H$434,H$434,IF(Tabell2[[#This Row],[Sysselsettingsvekst10]]&gt;=H$435,H$435,Tabell2[[#This Row],[Sysselsettingsvekst10]]))</f>
        <v>9.4478527607361862E-2</v>
      </c>
      <c r="R244" s="34">
        <f>IF(Tabell2[[#This Row],[Yrkesaktivandel]]&lt;=I$434,I$434,IF(Tabell2[[#This Row],[Yrkesaktivandel]]&gt;=I$435,I$435,Tabell2[[#This Row],[Yrkesaktivandel]]))</f>
        <v>0.92051030421982338</v>
      </c>
      <c r="S244" s="22">
        <f>IF(Tabell2[[#This Row],[Inntekt]]&lt;=J$434,J$434,IF(Tabell2[[#This Row],[Inntekt]]&gt;=J$435,J$435,Tabell2[[#This Row],[Inntekt]]))</f>
        <v>370500</v>
      </c>
      <c r="T244" s="22">
        <f>IF(Tabell2[[#This Row],[NIBR11-T]]&lt;=K$437,100,IF(Tabell2[[#This Row],[NIBR11-T]]&gt;=K$436,0,100*(K$436-Tabell2[[#This Row],[NIBR11-T]])/K$439))</f>
        <v>0</v>
      </c>
      <c r="U244" s="7">
        <f>IF(Tabell2[[#This Row],[ReisetidOslo-T]]&lt;=L$437,100,IF(Tabell2[[#This Row],[ReisetidOslo-T]]&gt;=L$436,0,100*(L$436-Tabell2[[#This Row],[ReisetidOslo-T]])/L$439))</f>
        <v>33.1875685557509</v>
      </c>
      <c r="V244" s="7">
        <f>100-(M$436-Tabell2[[#This Row],[Beftettotal-T]])*100/M$439</f>
        <v>0</v>
      </c>
      <c r="W244" s="7">
        <f>100-(N$436-Tabell2[[#This Row],[Befvekst10-T]])*100/N$439</f>
        <v>20.517470620237305</v>
      </c>
      <c r="X244" s="7">
        <f>100-(O$436-Tabell2[[#This Row],[Kvinneandel-T]])*100/O$439</f>
        <v>75.607259647860189</v>
      </c>
      <c r="Y244" s="7">
        <f>(P$436-Tabell2[[#This Row],[Eldreandel-T]])*100/P$439</f>
        <v>32.532739453068658</v>
      </c>
      <c r="Z244" s="7">
        <f>100-(Q$436-Tabell2[[#This Row],[Sysselsettingsvekst10-T]])*100/Q$439</f>
        <v>48.85978910456803</v>
      </c>
      <c r="AA244" s="7">
        <f>100-(R$436-Tabell2[[#This Row],[Yrkesaktivandel-T]])*100/R$439</f>
        <v>68.073658585351595</v>
      </c>
      <c r="AB244" s="7">
        <f>100-(S$436-Tabell2[[#This Row],[Inntekt-T]])*100/S$439</f>
        <v>45.112607383329461</v>
      </c>
      <c r="AC244" s="55">
        <f>Tabell2[[#This Row],[NIBR11-I]]*Vekter!$B$3</f>
        <v>0</v>
      </c>
      <c r="AD244" s="55">
        <f>Tabell2[[#This Row],[ReisetidOslo-I]]*Vekter!$C$3</f>
        <v>3.3187568555750904</v>
      </c>
      <c r="AE244" s="55">
        <f>Tabell2[[#This Row],[Beftettotal-I]]*Vekter!$D$3</f>
        <v>0</v>
      </c>
      <c r="AF244" s="55">
        <f>Tabell2[[#This Row],[Befvekst10-I]]*Vekter!$E$3</f>
        <v>4.1034941240474607</v>
      </c>
      <c r="AG244" s="55">
        <f>Tabell2[[#This Row],[Kvinneandel-I]]*Vekter!$F$3</f>
        <v>3.7803629823930098</v>
      </c>
      <c r="AH244" s="55">
        <f>Tabell2[[#This Row],[Eldreandel-I]]*Vekter!$G$3</f>
        <v>1.6266369726534329</v>
      </c>
      <c r="AI244" s="55">
        <f>Tabell2[[#This Row],[Sysselsettingsvekst10-I]]*Vekter!$H$3</f>
        <v>4.885978910456803</v>
      </c>
      <c r="AJ244" s="55">
        <f>Tabell2[[#This Row],[Yrkesaktivandel-I]]*Vekter!$J$3</f>
        <v>6.8073658585351602</v>
      </c>
      <c r="AK244" s="55">
        <f>Tabell2[[#This Row],[Inntekt-I]]*Vekter!$L$3</f>
        <v>4.5112607383329459</v>
      </c>
      <c r="AL244" s="56">
        <f>SUM(Tabell2[[#This Row],[NIBR11-v]:[Inntekt-v]])</f>
        <v>29.033856441993905</v>
      </c>
    </row>
    <row r="245" spans="1:38" x14ac:dyDescent="0.25">
      <c r="A245" s="2" t="s">
        <v>242</v>
      </c>
      <c r="B245">
        <f>'Rådata-K'!M244</f>
        <v>9</v>
      </c>
      <c r="C245" s="7">
        <f>'Rådata-K'!L244</f>
        <v>179.5</v>
      </c>
      <c r="D245" s="34">
        <f>'Rådata-K'!N244</f>
        <v>1.5985459637831758</v>
      </c>
      <c r="E245" s="34">
        <f>'Rådata-K'!O244</f>
        <v>-5.5607043558850711E-3</v>
      </c>
      <c r="F245" s="34">
        <f>'Rådata-K'!P244</f>
        <v>9.273066169617894E-2</v>
      </c>
      <c r="G245" s="34">
        <f>'Rådata-K'!Q244</f>
        <v>0.17753960857409135</v>
      </c>
      <c r="H245" s="34">
        <f>'Rådata-K'!R244</f>
        <v>-3.6832412523020164E-3</v>
      </c>
      <c r="I245" s="34">
        <f>'Rådata-K'!S244</f>
        <v>0.95655806182121972</v>
      </c>
      <c r="J245" s="22">
        <f>'Rådata-K'!K244</f>
        <v>378900</v>
      </c>
      <c r="K245" s="22">
        <f>Tabell2[[#This Row],[NIBR11]]</f>
        <v>9</v>
      </c>
      <c r="L245" s="32">
        <f>IF(Tabell2[[#This Row],[ReisetidOslo]]&lt;=C$434,C$434,IF(Tabell2[[#This Row],[ReisetidOslo]]&gt;=C$435,C$435,Tabell2[[#This Row],[ReisetidOslo]]))</f>
        <v>179.5</v>
      </c>
      <c r="M245" s="32">
        <f>IF(Tabell2[[#This Row],[Beftettotal]]&lt;=D$434,D$434,IF(Tabell2[[#This Row],[Beftettotal]]&gt;=D$435,D$435,Tabell2[[#This Row],[Beftettotal]]))</f>
        <v>1.5985459637831758</v>
      </c>
      <c r="N245" s="34">
        <f>IF(Tabell2[[#This Row],[Befvekst10]]&lt;=E$434,E$434,IF(Tabell2[[#This Row],[Befvekst10]]&gt;=E$435,E$435,Tabell2[[#This Row],[Befvekst10]]))</f>
        <v>-5.5607043558850711E-3</v>
      </c>
      <c r="O245" s="34">
        <f>IF(Tabell2[[#This Row],[Kvinneandel]]&lt;=F$434,F$434,IF(Tabell2[[#This Row],[Kvinneandel]]&gt;=F$435,F$435,Tabell2[[#This Row],[Kvinneandel]]))</f>
        <v>9.273066169617894E-2</v>
      </c>
      <c r="P245" s="34">
        <f>IF(Tabell2[[#This Row],[Eldreandel]]&lt;=G$434,G$434,IF(Tabell2[[#This Row],[Eldreandel]]&gt;=G$435,G$435,Tabell2[[#This Row],[Eldreandel]]))</f>
        <v>0.17753960857409135</v>
      </c>
      <c r="Q245" s="34">
        <f>IF(Tabell2[[#This Row],[Sysselsettingsvekst10]]&lt;=H$434,H$434,IF(Tabell2[[#This Row],[Sysselsettingsvekst10]]&gt;=H$435,H$435,Tabell2[[#This Row],[Sysselsettingsvekst10]]))</f>
        <v>-3.6832412523020164E-3</v>
      </c>
      <c r="R245" s="34">
        <f>IF(Tabell2[[#This Row],[Yrkesaktivandel]]&lt;=I$434,I$434,IF(Tabell2[[#This Row],[Yrkesaktivandel]]&gt;=I$435,I$435,Tabell2[[#This Row],[Yrkesaktivandel]]))</f>
        <v>0.95655806182121972</v>
      </c>
      <c r="S245" s="22">
        <f>IF(Tabell2[[#This Row],[Inntekt]]&lt;=J$434,J$434,IF(Tabell2[[#This Row],[Inntekt]]&gt;=J$435,J$435,Tabell2[[#This Row],[Inntekt]]))</f>
        <v>378900</v>
      </c>
      <c r="T245" s="22">
        <f>IF(Tabell2[[#This Row],[NIBR11-T]]&lt;=K$437,100,IF(Tabell2[[#This Row],[NIBR11-T]]&gt;=K$436,0,100*(K$436-Tabell2[[#This Row],[NIBR11-T]])/K$439))</f>
        <v>20</v>
      </c>
      <c r="U245" s="7">
        <f>IF(Tabell2[[#This Row],[ReisetidOslo-T]]&lt;=L$437,100,IF(Tabell2[[#This Row],[ReisetidOslo-T]]&gt;=L$436,0,100*(L$436-Tabell2[[#This Row],[ReisetidOslo-T]])/L$439))</f>
        <v>44.295429616093458</v>
      </c>
      <c r="V245" s="7">
        <f>100-(M$436-Tabell2[[#This Row],[Beftettotal-T]])*100/M$439</f>
        <v>0.20791558872213045</v>
      </c>
      <c r="W245" s="7">
        <f>100-(N$436-Tabell2[[#This Row],[Befvekst10-T]])*100/N$439</f>
        <v>28.440415014096459</v>
      </c>
      <c r="X245" s="7">
        <f>100-(O$436-Tabell2[[#This Row],[Kvinneandel-T]])*100/O$439</f>
        <v>5.9203860786968932</v>
      </c>
      <c r="Y245" s="7">
        <f>(P$436-Tabell2[[#This Row],[Eldreandel-T]])*100/P$439</f>
        <v>40.373330219891521</v>
      </c>
      <c r="Z245" s="7">
        <f>100-(Q$436-Tabell2[[#This Row],[Sysselsettingsvekst10-T]])*100/Q$439</f>
        <v>19.65264759370578</v>
      </c>
      <c r="AA245" s="7">
        <f>100-(R$436-Tabell2[[#This Row],[Yrkesaktivandel-T]])*100/R$439</f>
        <v>95.790481964971818</v>
      </c>
      <c r="AB245" s="7">
        <f>100-(S$436-Tabell2[[#This Row],[Inntekt-T]])*100/S$439</f>
        <v>54.864174599489203</v>
      </c>
      <c r="AC245" s="55">
        <f>Tabell2[[#This Row],[NIBR11-I]]*Vekter!$B$3</f>
        <v>4</v>
      </c>
      <c r="AD245" s="55">
        <f>Tabell2[[#This Row],[ReisetidOslo-I]]*Vekter!$C$3</f>
        <v>4.4295429616093456</v>
      </c>
      <c r="AE245" s="55">
        <f>Tabell2[[#This Row],[Beftettotal-I]]*Vekter!$D$3</f>
        <v>2.0791558872213046E-2</v>
      </c>
      <c r="AF245" s="55">
        <f>Tabell2[[#This Row],[Befvekst10-I]]*Vekter!$E$3</f>
        <v>5.6880830028192921</v>
      </c>
      <c r="AG245" s="55">
        <f>Tabell2[[#This Row],[Kvinneandel-I]]*Vekter!$F$3</f>
        <v>0.29601930393484466</v>
      </c>
      <c r="AH245" s="55">
        <f>Tabell2[[#This Row],[Eldreandel-I]]*Vekter!$G$3</f>
        <v>2.0186665109945761</v>
      </c>
      <c r="AI245" s="55">
        <f>Tabell2[[#This Row],[Sysselsettingsvekst10-I]]*Vekter!$H$3</f>
        <v>1.9652647593705781</v>
      </c>
      <c r="AJ245" s="55">
        <f>Tabell2[[#This Row],[Yrkesaktivandel-I]]*Vekter!$J$3</f>
        <v>9.5790481964971814</v>
      </c>
      <c r="AK245" s="55">
        <f>Tabell2[[#This Row],[Inntekt-I]]*Vekter!$L$3</f>
        <v>5.486417459948921</v>
      </c>
      <c r="AL245" s="56">
        <f>SUM(Tabell2[[#This Row],[NIBR11-v]:[Inntekt-v]])</f>
        <v>33.483833754046955</v>
      </c>
    </row>
    <row r="246" spans="1:38" x14ac:dyDescent="0.25">
      <c r="A246" s="2" t="s">
        <v>243</v>
      </c>
      <c r="B246">
        <f>'Rådata-K'!M245</f>
        <v>9</v>
      </c>
      <c r="C246" s="7">
        <f>'Rådata-K'!L245</f>
        <v>192.23333333330001</v>
      </c>
      <c r="D246" s="34">
        <f>'Rådata-K'!N245</f>
        <v>5.5594240891310136</v>
      </c>
      <c r="E246" s="34">
        <f>'Rådata-K'!O245</f>
        <v>-3.5872846741253794E-2</v>
      </c>
      <c r="F246" s="34">
        <f>'Rådata-K'!P245</f>
        <v>0.10112359550561797</v>
      </c>
      <c r="G246" s="34">
        <f>'Rådata-K'!Q245</f>
        <v>0.19193221587769388</v>
      </c>
      <c r="H246" s="34">
        <f>'Rådata-K'!R245</f>
        <v>-0.10902896081771718</v>
      </c>
      <c r="I246" s="34">
        <f>'Rådata-K'!S245</f>
        <v>0.84805194805194806</v>
      </c>
      <c r="J246" s="22">
        <f>'Rådata-K'!K245</f>
        <v>384200</v>
      </c>
      <c r="K246" s="22">
        <f>Tabell2[[#This Row],[NIBR11]]</f>
        <v>9</v>
      </c>
      <c r="L246" s="32">
        <f>IF(Tabell2[[#This Row],[ReisetidOslo]]&lt;=C$434,C$434,IF(Tabell2[[#This Row],[ReisetidOslo]]&gt;=C$435,C$435,Tabell2[[#This Row],[ReisetidOslo]]))</f>
        <v>192.23333333330001</v>
      </c>
      <c r="M246" s="32">
        <f>IF(Tabell2[[#This Row],[Beftettotal]]&lt;=D$434,D$434,IF(Tabell2[[#This Row],[Beftettotal]]&gt;=D$435,D$435,Tabell2[[#This Row],[Beftettotal]]))</f>
        <v>5.5594240891310136</v>
      </c>
      <c r="N246" s="34">
        <f>IF(Tabell2[[#This Row],[Befvekst10]]&lt;=E$434,E$434,IF(Tabell2[[#This Row],[Befvekst10]]&gt;=E$435,E$435,Tabell2[[#This Row],[Befvekst10]]))</f>
        <v>-3.5872846741253794E-2</v>
      </c>
      <c r="O246" s="34">
        <f>IF(Tabell2[[#This Row],[Kvinneandel]]&lt;=F$434,F$434,IF(Tabell2[[#This Row],[Kvinneandel]]&gt;=F$435,F$435,Tabell2[[#This Row],[Kvinneandel]]))</f>
        <v>0.10112359550561797</v>
      </c>
      <c r="P246" s="34">
        <f>IF(Tabell2[[#This Row],[Eldreandel]]&lt;=G$434,G$434,IF(Tabell2[[#This Row],[Eldreandel]]&gt;=G$435,G$435,Tabell2[[#This Row],[Eldreandel]]))</f>
        <v>0.19193221587769388</v>
      </c>
      <c r="Q246" s="34">
        <f>IF(Tabell2[[#This Row],[Sysselsettingsvekst10]]&lt;=H$434,H$434,IF(Tabell2[[#This Row],[Sysselsettingsvekst10]]&gt;=H$435,H$435,Tabell2[[#This Row],[Sysselsettingsvekst10]]))</f>
        <v>-6.9733479337269061E-2</v>
      </c>
      <c r="R246" s="34">
        <f>IF(Tabell2[[#This Row],[Yrkesaktivandel]]&lt;=I$434,I$434,IF(Tabell2[[#This Row],[Yrkesaktivandel]]&gt;=I$435,I$435,Tabell2[[#This Row],[Yrkesaktivandel]]))</f>
        <v>0.84805194805194806</v>
      </c>
      <c r="S246" s="22">
        <f>IF(Tabell2[[#This Row],[Inntekt]]&lt;=J$434,J$434,IF(Tabell2[[#This Row],[Inntekt]]&gt;=J$435,J$435,Tabell2[[#This Row],[Inntekt]]))</f>
        <v>384200</v>
      </c>
      <c r="T246" s="22">
        <f>IF(Tabell2[[#This Row],[NIBR11-T]]&lt;=K$437,100,IF(Tabell2[[#This Row],[NIBR11-T]]&gt;=K$436,0,100*(K$436-Tabell2[[#This Row],[NIBR11-T]])/K$439))</f>
        <v>20</v>
      </c>
      <c r="U246" s="7">
        <f>IF(Tabell2[[#This Row],[ReisetidOslo-T]]&lt;=L$437,100,IF(Tabell2[[#This Row],[ReisetidOslo-T]]&gt;=L$436,0,100*(L$436-Tabell2[[#This Row],[ReisetidOslo-T]])/L$439))</f>
        <v>38.708592321775924</v>
      </c>
      <c r="V246" s="7">
        <f>100-(M$436-Tabell2[[#This Row],[Beftettotal-T]])*100/M$439</f>
        <v>3.2719351682369791</v>
      </c>
      <c r="W246" s="7">
        <f>100-(N$436-Tabell2[[#This Row],[Befvekst10-T]])*100/N$439</f>
        <v>16.235638453321755</v>
      </c>
      <c r="X246" s="7">
        <f>100-(O$436-Tabell2[[#This Row],[Kvinneandel-T]])*100/O$439</f>
        <v>28.098558143242954</v>
      </c>
      <c r="Y246" s="7">
        <f>(P$436-Tabell2[[#This Row],[Eldreandel-T]])*100/P$439</f>
        <v>24.602602868685889</v>
      </c>
      <c r="Z246" s="7">
        <f>100-(Q$436-Tabell2[[#This Row],[Sysselsettingsvekst10-T]])*100/Q$439</f>
        <v>0</v>
      </c>
      <c r="AA246" s="7">
        <f>100-(R$436-Tabell2[[#This Row],[Yrkesaktivandel-T]])*100/R$439</f>
        <v>12.361026401961013</v>
      </c>
      <c r="AB246" s="7">
        <f>100-(S$436-Tabell2[[#This Row],[Inntekt-T]])*100/S$439</f>
        <v>61.016949152542374</v>
      </c>
      <c r="AC246" s="55">
        <f>Tabell2[[#This Row],[NIBR11-I]]*Vekter!$B$3</f>
        <v>4</v>
      </c>
      <c r="AD246" s="55">
        <f>Tabell2[[#This Row],[ReisetidOslo-I]]*Vekter!$C$3</f>
        <v>3.8708592321775925</v>
      </c>
      <c r="AE246" s="55">
        <f>Tabell2[[#This Row],[Beftettotal-I]]*Vekter!$D$3</f>
        <v>0.32719351682369791</v>
      </c>
      <c r="AF246" s="55">
        <f>Tabell2[[#This Row],[Befvekst10-I]]*Vekter!$E$3</f>
        <v>3.2471276906643514</v>
      </c>
      <c r="AG246" s="55">
        <f>Tabell2[[#This Row],[Kvinneandel-I]]*Vekter!$F$3</f>
        <v>1.4049279071621479</v>
      </c>
      <c r="AH246" s="55">
        <f>Tabell2[[#This Row],[Eldreandel-I]]*Vekter!$G$3</f>
        <v>1.2301301434342946</v>
      </c>
      <c r="AI246" s="55">
        <f>Tabell2[[#This Row],[Sysselsettingsvekst10-I]]*Vekter!$H$3</f>
        <v>0</v>
      </c>
      <c r="AJ246" s="55">
        <f>Tabell2[[#This Row],[Yrkesaktivandel-I]]*Vekter!$J$3</f>
        <v>1.2361026401961013</v>
      </c>
      <c r="AK246" s="55">
        <f>Tabell2[[#This Row],[Inntekt-I]]*Vekter!$L$3</f>
        <v>6.1016949152542379</v>
      </c>
      <c r="AL246" s="56">
        <f>SUM(Tabell2[[#This Row],[NIBR11-v]:[Inntekt-v]])</f>
        <v>21.418036045712423</v>
      </c>
    </row>
    <row r="247" spans="1:38" x14ac:dyDescent="0.25">
      <c r="A247" s="2" t="s">
        <v>244</v>
      </c>
      <c r="B247">
        <f>'Rådata-K'!M246</f>
        <v>8</v>
      </c>
      <c r="C247" s="7">
        <f>'Rådata-K'!L246</f>
        <v>183.9</v>
      </c>
      <c r="D247" s="34">
        <f>'Rådata-K'!N246</f>
        <v>1.8911987938896322</v>
      </c>
      <c r="E247" s="34">
        <f>'Rådata-K'!O246</f>
        <v>3.8765983357012423E-2</v>
      </c>
      <c r="F247" s="34">
        <f>'Rådata-K'!P246</f>
        <v>0.11215318483782728</v>
      </c>
      <c r="G247" s="34">
        <f>'Rådata-K'!Q246</f>
        <v>0.17350527549824149</v>
      </c>
      <c r="H247" s="34">
        <f>'Rådata-K'!R246</f>
        <v>9.7768331562167798E-2</v>
      </c>
      <c r="I247" s="34">
        <f>'Rådata-K'!S246</f>
        <v>0.98101719197707737</v>
      </c>
      <c r="J247" s="22">
        <f>'Rådata-K'!K246</f>
        <v>353600</v>
      </c>
      <c r="K247" s="22">
        <f>Tabell2[[#This Row],[NIBR11]]</f>
        <v>8</v>
      </c>
      <c r="L247" s="32">
        <f>IF(Tabell2[[#This Row],[ReisetidOslo]]&lt;=C$434,C$434,IF(Tabell2[[#This Row],[ReisetidOslo]]&gt;=C$435,C$435,Tabell2[[#This Row],[ReisetidOslo]]))</f>
        <v>183.9</v>
      </c>
      <c r="M247" s="32">
        <f>IF(Tabell2[[#This Row],[Beftettotal]]&lt;=D$434,D$434,IF(Tabell2[[#This Row],[Beftettotal]]&gt;=D$435,D$435,Tabell2[[#This Row],[Beftettotal]]))</f>
        <v>1.8911987938896322</v>
      </c>
      <c r="N247" s="34">
        <f>IF(Tabell2[[#This Row],[Befvekst10]]&lt;=E$434,E$434,IF(Tabell2[[#This Row],[Befvekst10]]&gt;=E$435,E$435,Tabell2[[#This Row],[Befvekst10]]))</f>
        <v>3.8765983357012423E-2</v>
      </c>
      <c r="O247" s="34">
        <f>IF(Tabell2[[#This Row],[Kvinneandel]]&lt;=F$434,F$434,IF(Tabell2[[#This Row],[Kvinneandel]]&gt;=F$435,F$435,Tabell2[[#This Row],[Kvinneandel]]))</f>
        <v>0.11215318483782728</v>
      </c>
      <c r="P247" s="34">
        <f>IF(Tabell2[[#This Row],[Eldreandel]]&lt;=G$434,G$434,IF(Tabell2[[#This Row],[Eldreandel]]&gt;=G$435,G$435,Tabell2[[#This Row],[Eldreandel]]))</f>
        <v>0.17350527549824149</v>
      </c>
      <c r="Q247" s="34">
        <f>IF(Tabell2[[#This Row],[Sysselsettingsvekst10]]&lt;=H$434,H$434,IF(Tabell2[[#This Row],[Sysselsettingsvekst10]]&gt;=H$435,H$435,Tabell2[[#This Row],[Sysselsettingsvekst10]]))</f>
        <v>9.7768331562167798E-2</v>
      </c>
      <c r="R247" s="34">
        <f>IF(Tabell2[[#This Row],[Yrkesaktivandel]]&lt;=I$434,I$434,IF(Tabell2[[#This Row],[Yrkesaktivandel]]&gt;=I$435,I$435,Tabell2[[#This Row],[Yrkesaktivandel]]))</f>
        <v>0.96203284815106216</v>
      </c>
      <c r="S247" s="22">
        <f>IF(Tabell2[[#This Row],[Inntekt]]&lt;=J$434,J$434,IF(Tabell2[[#This Row],[Inntekt]]&gt;=J$435,J$435,Tabell2[[#This Row],[Inntekt]]))</f>
        <v>353600</v>
      </c>
      <c r="T247" s="22">
        <f>IF(Tabell2[[#This Row],[NIBR11-T]]&lt;=K$437,100,IF(Tabell2[[#This Row],[NIBR11-T]]&gt;=K$436,0,100*(K$436-Tabell2[[#This Row],[NIBR11-T]])/K$439))</f>
        <v>30</v>
      </c>
      <c r="U247" s="7">
        <f>IF(Tabell2[[#This Row],[ReisetidOslo-T]]&lt;=L$437,100,IF(Tabell2[[#This Row],[ReisetidOslo-T]]&gt;=L$436,0,100*(L$436-Tabell2[[#This Row],[ReisetidOslo-T]])/L$439))</f>
        <v>42.364899451559829</v>
      </c>
      <c r="V247" s="7">
        <f>100-(M$436-Tabell2[[#This Row],[Beftettotal-T]])*100/M$439</f>
        <v>0.43430326667369457</v>
      </c>
      <c r="W247" s="7">
        <f>100-(N$436-Tabell2[[#This Row],[Befvekst10-T]])*100/N$439</f>
        <v>46.287959814370396</v>
      </c>
      <c r="X247" s="7">
        <f>100-(O$436-Tabell2[[#This Row],[Kvinneandel-T]])*100/O$439</f>
        <v>57.244043567650145</v>
      </c>
      <c r="Y247" s="7">
        <f>(P$436-Tabell2[[#This Row],[Eldreandel-T]])*100/P$439</f>
        <v>44.793958507808014</v>
      </c>
      <c r="Z247" s="7">
        <f>100-(Q$436-Tabell2[[#This Row],[Sysselsettingsvekst10-T]])*100/Q$439</f>
        <v>49.838640349479668</v>
      </c>
      <c r="AA247" s="7">
        <f>100-(R$436-Tabell2[[#This Row],[Yrkesaktivandel-T]])*100/R$439</f>
        <v>100</v>
      </c>
      <c r="AB247" s="7">
        <f>100-(S$436-Tabell2[[#This Row],[Inntekt-T]])*100/S$439</f>
        <v>25.493382865103314</v>
      </c>
      <c r="AC247" s="55">
        <f>Tabell2[[#This Row],[NIBR11-I]]*Vekter!$B$3</f>
        <v>6</v>
      </c>
      <c r="AD247" s="55">
        <f>Tabell2[[#This Row],[ReisetidOslo-I]]*Vekter!$C$3</f>
        <v>4.2364899451559834</v>
      </c>
      <c r="AE247" s="55">
        <f>Tabell2[[#This Row],[Beftettotal-I]]*Vekter!$D$3</f>
        <v>4.3430326667369457E-2</v>
      </c>
      <c r="AF247" s="55">
        <f>Tabell2[[#This Row],[Befvekst10-I]]*Vekter!$E$3</f>
        <v>9.2575919628740788</v>
      </c>
      <c r="AG247" s="55">
        <f>Tabell2[[#This Row],[Kvinneandel-I]]*Vekter!$F$3</f>
        <v>2.8622021783825073</v>
      </c>
      <c r="AH247" s="55">
        <f>Tabell2[[#This Row],[Eldreandel-I]]*Vekter!$G$3</f>
        <v>2.2396979253904008</v>
      </c>
      <c r="AI247" s="55">
        <f>Tabell2[[#This Row],[Sysselsettingsvekst10-I]]*Vekter!$H$3</f>
        <v>4.9838640349479668</v>
      </c>
      <c r="AJ247" s="55">
        <f>Tabell2[[#This Row],[Yrkesaktivandel-I]]*Vekter!$J$3</f>
        <v>10</v>
      </c>
      <c r="AK247" s="55">
        <f>Tabell2[[#This Row],[Inntekt-I]]*Vekter!$L$3</f>
        <v>2.5493382865103316</v>
      </c>
      <c r="AL247" s="56">
        <f>SUM(Tabell2[[#This Row],[NIBR11-v]:[Inntekt-v]])</f>
        <v>42.172614659928641</v>
      </c>
    </row>
    <row r="248" spans="1:38" x14ac:dyDescent="0.25">
      <c r="A248" s="2" t="s">
        <v>245</v>
      </c>
      <c r="B248">
        <f>'Rådata-K'!M247</f>
        <v>8</v>
      </c>
      <c r="C248" s="7">
        <f>'Rådata-K'!L247</f>
        <v>196.4</v>
      </c>
      <c r="D248" s="34">
        <f>'Rådata-K'!N247</f>
        <v>9.2221847502835939</v>
      </c>
      <c r="E248" s="34">
        <f>'Rådata-K'!O247</f>
        <v>-6.844224218024153E-2</v>
      </c>
      <c r="F248" s="34">
        <f>'Rådata-K'!P247</f>
        <v>9.3417553191489366E-2</v>
      </c>
      <c r="G248" s="34">
        <f>'Rådata-K'!Q247</f>
        <v>0.22107712765957446</v>
      </c>
      <c r="H248" s="34">
        <f>'Rådata-K'!R247</f>
        <v>-6.1116031886625288E-2</v>
      </c>
      <c r="I248" s="34">
        <f>'Rådata-K'!S247</f>
        <v>0.93252705283259074</v>
      </c>
      <c r="J248" s="22">
        <f>'Rådata-K'!K247</f>
        <v>358700</v>
      </c>
      <c r="K248" s="22">
        <f>Tabell2[[#This Row],[NIBR11]]</f>
        <v>8</v>
      </c>
      <c r="L248" s="32">
        <f>IF(Tabell2[[#This Row],[ReisetidOslo]]&lt;=C$434,C$434,IF(Tabell2[[#This Row],[ReisetidOslo]]&gt;=C$435,C$435,Tabell2[[#This Row],[ReisetidOslo]]))</f>
        <v>196.4</v>
      </c>
      <c r="M248" s="32">
        <f>IF(Tabell2[[#This Row],[Beftettotal]]&lt;=D$434,D$434,IF(Tabell2[[#This Row],[Beftettotal]]&gt;=D$435,D$435,Tabell2[[#This Row],[Beftettotal]]))</f>
        <v>9.2221847502835939</v>
      </c>
      <c r="N248" s="34">
        <f>IF(Tabell2[[#This Row],[Befvekst10]]&lt;=E$434,E$434,IF(Tabell2[[#This Row],[Befvekst10]]&gt;=E$435,E$435,Tabell2[[#This Row],[Befvekst10]]))</f>
        <v>-6.844224218024153E-2</v>
      </c>
      <c r="O248" s="34">
        <f>IF(Tabell2[[#This Row],[Kvinneandel]]&lt;=F$434,F$434,IF(Tabell2[[#This Row],[Kvinneandel]]&gt;=F$435,F$435,Tabell2[[#This Row],[Kvinneandel]]))</f>
        <v>9.3417553191489366E-2</v>
      </c>
      <c r="P248" s="34">
        <f>IF(Tabell2[[#This Row],[Eldreandel]]&lt;=G$434,G$434,IF(Tabell2[[#This Row],[Eldreandel]]&gt;=G$435,G$435,Tabell2[[#This Row],[Eldreandel]]))</f>
        <v>0.21438492803547596</v>
      </c>
      <c r="Q248" s="34">
        <f>IF(Tabell2[[#This Row],[Sysselsettingsvekst10]]&lt;=H$434,H$434,IF(Tabell2[[#This Row],[Sysselsettingsvekst10]]&gt;=H$435,H$435,Tabell2[[#This Row],[Sysselsettingsvekst10]]))</f>
        <v>-6.1116031886625288E-2</v>
      </c>
      <c r="R248" s="34">
        <f>IF(Tabell2[[#This Row],[Yrkesaktivandel]]&lt;=I$434,I$434,IF(Tabell2[[#This Row],[Yrkesaktivandel]]&gt;=I$435,I$435,Tabell2[[#This Row],[Yrkesaktivandel]]))</f>
        <v>0.93252705283259074</v>
      </c>
      <c r="S248" s="22">
        <f>IF(Tabell2[[#This Row],[Inntekt]]&lt;=J$434,J$434,IF(Tabell2[[#This Row],[Inntekt]]&gt;=J$435,J$435,Tabell2[[#This Row],[Inntekt]]))</f>
        <v>358700</v>
      </c>
      <c r="T248" s="22">
        <f>IF(Tabell2[[#This Row],[NIBR11-T]]&lt;=K$437,100,IF(Tabell2[[#This Row],[NIBR11-T]]&gt;=K$436,0,100*(K$436-Tabell2[[#This Row],[NIBR11-T]])/K$439))</f>
        <v>30</v>
      </c>
      <c r="U248" s="7">
        <f>IF(Tabell2[[#This Row],[ReisetidOslo-T]]&lt;=L$437,100,IF(Tabell2[[#This Row],[ReisetidOslo-T]]&gt;=L$436,0,100*(L$436-Tabell2[[#This Row],[ReisetidOslo-T]])/L$439))</f>
        <v>36.880438756862034</v>
      </c>
      <c r="V248" s="7">
        <f>100-(M$436-Tabell2[[#This Row],[Beftettotal-T]])*100/M$439</f>
        <v>6.1053397885476954</v>
      </c>
      <c r="W248" s="7">
        <f>100-(N$436-Tabell2[[#This Row],[Befvekst10-T]])*100/N$439</f>
        <v>3.1220093010573748</v>
      </c>
      <c r="X248" s="7">
        <f>100-(O$436-Tabell2[[#This Row],[Kvinneandel-T]])*100/O$439</f>
        <v>7.7354841264778855</v>
      </c>
      <c r="Y248" s="7">
        <f>(P$436-Tabell2[[#This Row],[Eldreandel-T]])*100/P$439</f>
        <v>0</v>
      </c>
      <c r="Z248" s="7">
        <f>100-(Q$436-Tabell2[[#This Row],[Sysselsettingsvekst10-T]])*100/Q$439</f>
        <v>2.5640431104415029</v>
      </c>
      <c r="AA248" s="7">
        <f>100-(R$436-Tabell2[[#This Row],[Yrkesaktivandel-T]])*100/R$439</f>
        <v>77.313237440166901</v>
      </c>
      <c r="AB248" s="7">
        <f>100-(S$436-Tabell2[[#This Row],[Inntekt-T]])*100/S$439</f>
        <v>31.413977246343165</v>
      </c>
      <c r="AC248" s="55">
        <f>Tabell2[[#This Row],[NIBR11-I]]*Vekter!$B$3</f>
        <v>6</v>
      </c>
      <c r="AD248" s="55">
        <f>Tabell2[[#This Row],[ReisetidOslo-I]]*Vekter!$C$3</f>
        <v>3.6880438756862035</v>
      </c>
      <c r="AE248" s="55">
        <f>Tabell2[[#This Row],[Beftettotal-I]]*Vekter!$D$3</f>
        <v>0.61053397885476957</v>
      </c>
      <c r="AF248" s="55">
        <f>Tabell2[[#This Row],[Befvekst10-I]]*Vekter!$E$3</f>
        <v>0.62440186021147503</v>
      </c>
      <c r="AG248" s="55">
        <f>Tabell2[[#This Row],[Kvinneandel-I]]*Vekter!$F$3</f>
        <v>0.38677420632389431</v>
      </c>
      <c r="AH248" s="55">
        <f>Tabell2[[#This Row],[Eldreandel-I]]*Vekter!$G$3</f>
        <v>0</v>
      </c>
      <c r="AI248" s="55">
        <f>Tabell2[[#This Row],[Sysselsettingsvekst10-I]]*Vekter!$H$3</f>
        <v>0.25640431104415029</v>
      </c>
      <c r="AJ248" s="55">
        <f>Tabell2[[#This Row],[Yrkesaktivandel-I]]*Vekter!$J$3</f>
        <v>7.7313237440166906</v>
      </c>
      <c r="AK248" s="55">
        <f>Tabell2[[#This Row],[Inntekt-I]]*Vekter!$L$3</f>
        <v>3.1413977246343165</v>
      </c>
      <c r="AL248" s="56">
        <f>SUM(Tabell2[[#This Row],[NIBR11-v]:[Inntekt-v]])</f>
        <v>22.438879700771498</v>
      </c>
    </row>
    <row r="249" spans="1:38" x14ac:dyDescent="0.25">
      <c r="A249" s="2" t="s">
        <v>246</v>
      </c>
      <c r="B249">
        <f>'Rådata-K'!M248</f>
        <v>6</v>
      </c>
      <c r="C249" s="7">
        <f>'Rådata-K'!L248</f>
        <v>179.05</v>
      </c>
      <c r="D249" s="34">
        <f>'Rådata-K'!N248</f>
        <v>6.777748433410963</v>
      </c>
      <c r="E249" s="34">
        <f>'Rådata-K'!O248</f>
        <v>-3.1893004115226331E-2</v>
      </c>
      <c r="F249" s="34">
        <f>'Rådata-K'!P248</f>
        <v>0.10520722635494155</v>
      </c>
      <c r="G249" s="34">
        <f>'Rådata-K'!Q248</f>
        <v>0.18668083599008148</v>
      </c>
      <c r="H249" s="34">
        <f>'Rådata-K'!R248</f>
        <v>5.0000000000000044E-2</v>
      </c>
      <c r="I249" s="34">
        <f>'Rådata-K'!S248</f>
        <v>0.93195876288659796</v>
      </c>
      <c r="J249" s="22">
        <f>'Rådata-K'!K248</f>
        <v>330600</v>
      </c>
      <c r="K249" s="22">
        <f>Tabell2[[#This Row],[NIBR11]]</f>
        <v>6</v>
      </c>
      <c r="L249" s="32">
        <f>IF(Tabell2[[#This Row],[ReisetidOslo]]&lt;=C$434,C$434,IF(Tabell2[[#This Row],[ReisetidOslo]]&gt;=C$435,C$435,Tabell2[[#This Row],[ReisetidOslo]]))</f>
        <v>179.05</v>
      </c>
      <c r="M249" s="32">
        <f>IF(Tabell2[[#This Row],[Beftettotal]]&lt;=D$434,D$434,IF(Tabell2[[#This Row],[Beftettotal]]&gt;=D$435,D$435,Tabell2[[#This Row],[Beftettotal]]))</f>
        <v>6.777748433410963</v>
      </c>
      <c r="N249" s="34">
        <f>IF(Tabell2[[#This Row],[Befvekst10]]&lt;=E$434,E$434,IF(Tabell2[[#This Row],[Befvekst10]]&gt;=E$435,E$435,Tabell2[[#This Row],[Befvekst10]]))</f>
        <v>-3.1893004115226331E-2</v>
      </c>
      <c r="O249" s="34">
        <f>IF(Tabell2[[#This Row],[Kvinneandel]]&lt;=F$434,F$434,IF(Tabell2[[#This Row],[Kvinneandel]]&gt;=F$435,F$435,Tabell2[[#This Row],[Kvinneandel]]))</f>
        <v>0.10520722635494155</v>
      </c>
      <c r="P249" s="34">
        <f>IF(Tabell2[[#This Row],[Eldreandel]]&lt;=G$434,G$434,IF(Tabell2[[#This Row],[Eldreandel]]&gt;=G$435,G$435,Tabell2[[#This Row],[Eldreandel]]))</f>
        <v>0.18668083599008148</v>
      </c>
      <c r="Q249" s="34">
        <f>IF(Tabell2[[#This Row],[Sysselsettingsvekst10]]&lt;=H$434,H$434,IF(Tabell2[[#This Row],[Sysselsettingsvekst10]]&gt;=H$435,H$435,Tabell2[[#This Row],[Sysselsettingsvekst10]]))</f>
        <v>5.0000000000000044E-2</v>
      </c>
      <c r="R249" s="34">
        <f>IF(Tabell2[[#This Row],[Yrkesaktivandel]]&lt;=I$434,I$434,IF(Tabell2[[#This Row],[Yrkesaktivandel]]&gt;=I$435,I$435,Tabell2[[#This Row],[Yrkesaktivandel]]))</f>
        <v>0.93195876288659796</v>
      </c>
      <c r="S249" s="22">
        <f>IF(Tabell2[[#This Row],[Inntekt]]&lt;=J$434,J$434,IF(Tabell2[[#This Row],[Inntekt]]&gt;=J$435,J$435,Tabell2[[#This Row],[Inntekt]]))</f>
        <v>331640</v>
      </c>
      <c r="T249" s="22">
        <f>IF(Tabell2[[#This Row],[NIBR11-T]]&lt;=K$437,100,IF(Tabell2[[#This Row],[NIBR11-T]]&gt;=K$436,0,100*(K$436-Tabell2[[#This Row],[NIBR11-T]])/K$439))</f>
        <v>50</v>
      </c>
      <c r="U249" s="7">
        <f>IF(Tabell2[[#This Row],[ReisetidOslo-T]]&lt;=L$437,100,IF(Tabell2[[#This Row],[ReisetidOslo-T]]&gt;=L$436,0,100*(L$436-Tabell2[[#This Row],[ReisetidOslo-T]])/L$439))</f>
        <v>44.492870201102569</v>
      </c>
      <c r="V249" s="7">
        <f>100-(M$436-Tabell2[[#This Row],[Beftettotal-T]])*100/M$439</f>
        <v>4.2143952811053822</v>
      </c>
      <c r="W249" s="7">
        <f>100-(N$436-Tabell2[[#This Row],[Befvekst10-T]])*100/N$439</f>
        <v>17.838068574564431</v>
      </c>
      <c r="X249" s="7">
        <f>100-(O$436-Tabell2[[#This Row],[Kvinneandel-T]])*100/O$439</f>
        <v>38.889476990062725</v>
      </c>
      <c r="Y249" s="7">
        <f>(P$436-Tabell2[[#This Row],[Eldreandel-T]])*100/P$439</f>
        <v>30.356812559685402</v>
      </c>
      <c r="Z249" s="7">
        <f>100-(Q$436-Tabell2[[#This Row],[Sysselsettingsvekst10-T]])*100/Q$439</f>
        <v>35.625607761725234</v>
      </c>
      <c r="AA249" s="7">
        <f>100-(R$436-Tabell2[[#This Row],[Yrkesaktivandel-T]])*100/R$439</f>
        <v>76.876283989811753</v>
      </c>
      <c r="AB249" s="7">
        <f>100-(S$436-Tabell2[[#This Row],[Inntekt-T]])*100/S$439</f>
        <v>0</v>
      </c>
      <c r="AC249" s="55">
        <f>Tabell2[[#This Row],[NIBR11-I]]*Vekter!$B$3</f>
        <v>10</v>
      </c>
      <c r="AD249" s="55">
        <f>Tabell2[[#This Row],[ReisetidOslo-I]]*Vekter!$C$3</f>
        <v>4.4492870201102575</v>
      </c>
      <c r="AE249" s="55">
        <f>Tabell2[[#This Row],[Beftettotal-I]]*Vekter!$D$3</f>
        <v>0.42143952811053825</v>
      </c>
      <c r="AF249" s="55">
        <f>Tabell2[[#This Row],[Befvekst10-I]]*Vekter!$E$3</f>
        <v>3.5676137149128864</v>
      </c>
      <c r="AG249" s="55">
        <f>Tabell2[[#This Row],[Kvinneandel-I]]*Vekter!$F$3</f>
        <v>1.9444738495031364</v>
      </c>
      <c r="AH249" s="55">
        <f>Tabell2[[#This Row],[Eldreandel-I]]*Vekter!$G$3</f>
        <v>1.5178406279842702</v>
      </c>
      <c r="AI249" s="55">
        <f>Tabell2[[#This Row],[Sysselsettingsvekst10-I]]*Vekter!$H$3</f>
        <v>3.5625607761725235</v>
      </c>
      <c r="AJ249" s="55">
        <f>Tabell2[[#This Row],[Yrkesaktivandel-I]]*Vekter!$J$3</f>
        <v>7.6876283989811753</v>
      </c>
      <c r="AK249" s="55">
        <f>Tabell2[[#This Row],[Inntekt-I]]*Vekter!$L$3</f>
        <v>0</v>
      </c>
      <c r="AL249" s="56">
        <f>SUM(Tabell2[[#This Row],[NIBR11-v]:[Inntekt-v]])</f>
        <v>33.150843915774786</v>
      </c>
    </row>
    <row r="250" spans="1:38" x14ac:dyDescent="0.25">
      <c r="A250" s="2" t="s">
        <v>247</v>
      </c>
      <c r="B250">
        <f>'Rådata-K'!M249</f>
        <v>6</v>
      </c>
      <c r="C250" s="7">
        <f>'Rådata-K'!L249</f>
        <v>167.6</v>
      </c>
      <c r="D250" s="34">
        <f>'Rådata-K'!N249</f>
        <v>5.0874841016121817</v>
      </c>
      <c r="E250" s="34">
        <f>'Rådata-K'!O249</f>
        <v>7.6755183703164809E-2</v>
      </c>
      <c r="F250" s="34">
        <f>'Rådata-K'!P249</f>
        <v>0.11216216216216217</v>
      </c>
      <c r="G250" s="34">
        <f>'Rådata-K'!Q249</f>
        <v>0.15743243243243243</v>
      </c>
      <c r="H250" s="34">
        <f>'Rådata-K'!R249</f>
        <v>3.6998972250770867E-2</v>
      </c>
      <c r="I250" s="34">
        <f>'Rådata-K'!S249</f>
        <v>0.97720271102895873</v>
      </c>
      <c r="J250" s="22">
        <f>'Rådata-K'!K249</f>
        <v>369500</v>
      </c>
      <c r="K250" s="22">
        <f>Tabell2[[#This Row],[NIBR11]]</f>
        <v>6</v>
      </c>
      <c r="L250" s="32">
        <f>IF(Tabell2[[#This Row],[ReisetidOslo]]&lt;=C$434,C$434,IF(Tabell2[[#This Row],[ReisetidOslo]]&gt;=C$435,C$435,Tabell2[[#This Row],[ReisetidOslo]]))</f>
        <v>167.6</v>
      </c>
      <c r="M250" s="32">
        <f>IF(Tabell2[[#This Row],[Beftettotal]]&lt;=D$434,D$434,IF(Tabell2[[#This Row],[Beftettotal]]&gt;=D$435,D$435,Tabell2[[#This Row],[Beftettotal]]))</f>
        <v>5.0874841016121817</v>
      </c>
      <c r="N250" s="34">
        <f>IF(Tabell2[[#This Row],[Befvekst10]]&lt;=E$434,E$434,IF(Tabell2[[#This Row],[Befvekst10]]&gt;=E$435,E$435,Tabell2[[#This Row],[Befvekst10]]))</f>
        <v>7.6755183703164809E-2</v>
      </c>
      <c r="O250" s="34">
        <f>IF(Tabell2[[#This Row],[Kvinneandel]]&lt;=F$434,F$434,IF(Tabell2[[#This Row],[Kvinneandel]]&gt;=F$435,F$435,Tabell2[[#This Row],[Kvinneandel]]))</f>
        <v>0.11216216216216217</v>
      </c>
      <c r="P250" s="34">
        <f>IF(Tabell2[[#This Row],[Eldreandel]]&lt;=G$434,G$434,IF(Tabell2[[#This Row],[Eldreandel]]&gt;=G$435,G$435,Tabell2[[#This Row],[Eldreandel]]))</f>
        <v>0.15743243243243243</v>
      </c>
      <c r="Q250" s="34">
        <f>IF(Tabell2[[#This Row],[Sysselsettingsvekst10]]&lt;=H$434,H$434,IF(Tabell2[[#This Row],[Sysselsettingsvekst10]]&gt;=H$435,H$435,Tabell2[[#This Row],[Sysselsettingsvekst10]]))</f>
        <v>3.6998972250770867E-2</v>
      </c>
      <c r="R250" s="34">
        <f>IF(Tabell2[[#This Row],[Yrkesaktivandel]]&lt;=I$434,I$434,IF(Tabell2[[#This Row],[Yrkesaktivandel]]&gt;=I$435,I$435,Tabell2[[#This Row],[Yrkesaktivandel]]))</f>
        <v>0.96203284815106216</v>
      </c>
      <c r="S250" s="22">
        <f>IF(Tabell2[[#This Row],[Inntekt]]&lt;=J$434,J$434,IF(Tabell2[[#This Row],[Inntekt]]&gt;=J$435,J$435,Tabell2[[#This Row],[Inntekt]]))</f>
        <v>369500</v>
      </c>
      <c r="T250" s="22">
        <f>IF(Tabell2[[#This Row],[NIBR11-T]]&lt;=K$437,100,IF(Tabell2[[#This Row],[NIBR11-T]]&gt;=K$436,0,100*(K$436-Tabell2[[#This Row],[NIBR11-T]])/K$439))</f>
        <v>50</v>
      </c>
      <c r="U250" s="7">
        <f>IF(Tabell2[[#This Row],[ReisetidOslo-T]]&lt;=L$437,100,IF(Tabell2[[#This Row],[ReisetidOslo-T]]&gt;=L$436,0,100*(L$436-Tabell2[[#This Row],[ReisetidOslo-T]])/L$439))</f>
        <v>49.516636197445756</v>
      </c>
      <c r="V250" s="7">
        <f>100-(M$436-Tabell2[[#This Row],[Beftettotal-T]])*100/M$439</f>
        <v>2.9068561841451128</v>
      </c>
      <c r="W250" s="7">
        <f>100-(N$436-Tabell2[[#This Row],[Befvekst10-T]])*100/N$439</f>
        <v>61.583800538947244</v>
      </c>
      <c r="X250" s="7">
        <f>100-(O$436-Tabell2[[#This Row],[Kvinneandel-T]])*100/O$439</f>
        <v>57.26776598084902</v>
      </c>
      <c r="Y250" s="7">
        <f>(P$436-Tabell2[[#This Row],[Eldreandel-T]])*100/P$439</f>
        <v>62.405807452379968</v>
      </c>
      <c r="Z250" s="7">
        <f>100-(Q$436-Tabell2[[#This Row],[Sysselsettingsvekst10-T]])*100/Q$439</f>
        <v>31.757270203533395</v>
      </c>
      <c r="AA250" s="7">
        <f>100-(R$436-Tabell2[[#This Row],[Yrkesaktivandel-T]])*100/R$439</f>
        <v>100</v>
      </c>
      <c r="AB250" s="7">
        <f>100-(S$436-Tabell2[[#This Row],[Inntekt-T]])*100/S$439</f>
        <v>43.951706524262825</v>
      </c>
      <c r="AC250" s="55">
        <f>Tabell2[[#This Row],[NIBR11-I]]*Vekter!$B$3</f>
        <v>10</v>
      </c>
      <c r="AD250" s="55">
        <f>Tabell2[[#This Row],[ReisetidOslo-I]]*Vekter!$C$3</f>
        <v>4.9516636197445756</v>
      </c>
      <c r="AE250" s="55">
        <f>Tabell2[[#This Row],[Beftettotal-I]]*Vekter!$D$3</f>
        <v>0.29068561841451129</v>
      </c>
      <c r="AF250" s="55">
        <f>Tabell2[[#This Row],[Befvekst10-I]]*Vekter!$E$3</f>
        <v>12.316760107789449</v>
      </c>
      <c r="AG250" s="55">
        <f>Tabell2[[#This Row],[Kvinneandel-I]]*Vekter!$F$3</f>
        <v>2.8633882990424513</v>
      </c>
      <c r="AH250" s="55">
        <f>Tabell2[[#This Row],[Eldreandel-I]]*Vekter!$G$3</f>
        <v>3.1202903726189986</v>
      </c>
      <c r="AI250" s="55">
        <f>Tabell2[[#This Row],[Sysselsettingsvekst10-I]]*Vekter!$H$3</f>
        <v>3.1757270203533396</v>
      </c>
      <c r="AJ250" s="55">
        <f>Tabell2[[#This Row],[Yrkesaktivandel-I]]*Vekter!$J$3</f>
        <v>10</v>
      </c>
      <c r="AK250" s="55">
        <f>Tabell2[[#This Row],[Inntekt-I]]*Vekter!$L$3</f>
        <v>4.395170652426283</v>
      </c>
      <c r="AL250" s="56">
        <f>SUM(Tabell2[[#This Row],[NIBR11-v]:[Inntekt-v]])</f>
        <v>51.113685690389609</v>
      </c>
    </row>
    <row r="251" spans="1:38" x14ac:dyDescent="0.25">
      <c r="A251" s="2" t="s">
        <v>248</v>
      </c>
      <c r="B251">
        <f>'Rådata-K'!M250</f>
        <v>6</v>
      </c>
      <c r="C251" s="7">
        <f>'Rådata-K'!L250</f>
        <v>193.46666666670001</v>
      </c>
      <c r="D251" s="34">
        <f>'Rådata-K'!N250</f>
        <v>4.5106281489431472</v>
      </c>
      <c r="E251" s="34">
        <f>'Rådata-K'!O250</f>
        <v>3.7011651816312607E-2</v>
      </c>
      <c r="F251" s="34">
        <f>'Rådata-K'!P250</f>
        <v>0.10971579643093192</v>
      </c>
      <c r="G251" s="34">
        <f>'Rådata-K'!Q250</f>
        <v>0.1556510244547257</v>
      </c>
      <c r="H251" s="34">
        <f>'Rådata-K'!R250</f>
        <v>-2.9644268774703386E-3</v>
      </c>
      <c r="I251" s="34">
        <f>'Rådata-K'!S250</f>
        <v>0.95143884892086328</v>
      </c>
      <c r="J251" s="22">
        <f>'Rådata-K'!K250</f>
        <v>365300</v>
      </c>
      <c r="K251" s="22">
        <f>Tabell2[[#This Row],[NIBR11]]</f>
        <v>6</v>
      </c>
      <c r="L251" s="32">
        <f>IF(Tabell2[[#This Row],[ReisetidOslo]]&lt;=C$434,C$434,IF(Tabell2[[#This Row],[ReisetidOslo]]&gt;=C$435,C$435,Tabell2[[#This Row],[ReisetidOslo]]))</f>
        <v>193.46666666670001</v>
      </c>
      <c r="M251" s="32">
        <f>IF(Tabell2[[#This Row],[Beftettotal]]&lt;=D$434,D$434,IF(Tabell2[[#This Row],[Beftettotal]]&gt;=D$435,D$435,Tabell2[[#This Row],[Beftettotal]]))</f>
        <v>4.5106281489431472</v>
      </c>
      <c r="N251" s="34">
        <f>IF(Tabell2[[#This Row],[Befvekst10]]&lt;=E$434,E$434,IF(Tabell2[[#This Row],[Befvekst10]]&gt;=E$435,E$435,Tabell2[[#This Row],[Befvekst10]]))</f>
        <v>3.7011651816312607E-2</v>
      </c>
      <c r="O251" s="34">
        <f>IF(Tabell2[[#This Row],[Kvinneandel]]&lt;=F$434,F$434,IF(Tabell2[[#This Row],[Kvinneandel]]&gt;=F$435,F$435,Tabell2[[#This Row],[Kvinneandel]]))</f>
        <v>0.10971579643093192</v>
      </c>
      <c r="P251" s="34">
        <f>IF(Tabell2[[#This Row],[Eldreandel]]&lt;=G$434,G$434,IF(Tabell2[[#This Row],[Eldreandel]]&gt;=G$435,G$435,Tabell2[[#This Row],[Eldreandel]]))</f>
        <v>0.1556510244547257</v>
      </c>
      <c r="Q251" s="34">
        <f>IF(Tabell2[[#This Row],[Sysselsettingsvekst10]]&lt;=H$434,H$434,IF(Tabell2[[#This Row],[Sysselsettingsvekst10]]&gt;=H$435,H$435,Tabell2[[#This Row],[Sysselsettingsvekst10]]))</f>
        <v>-2.9644268774703386E-3</v>
      </c>
      <c r="R251" s="34">
        <f>IF(Tabell2[[#This Row],[Yrkesaktivandel]]&lt;=I$434,I$434,IF(Tabell2[[#This Row],[Yrkesaktivandel]]&gt;=I$435,I$435,Tabell2[[#This Row],[Yrkesaktivandel]]))</f>
        <v>0.95143884892086328</v>
      </c>
      <c r="S251" s="22">
        <f>IF(Tabell2[[#This Row],[Inntekt]]&lt;=J$434,J$434,IF(Tabell2[[#This Row],[Inntekt]]&gt;=J$435,J$435,Tabell2[[#This Row],[Inntekt]]))</f>
        <v>365300</v>
      </c>
      <c r="T251" s="22">
        <f>IF(Tabell2[[#This Row],[NIBR11-T]]&lt;=K$437,100,IF(Tabell2[[#This Row],[NIBR11-T]]&gt;=K$436,0,100*(K$436-Tabell2[[#This Row],[NIBR11-T]])/K$439))</f>
        <v>50</v>
      </c>
      <c r="U251" s="7">
        <f>IF(Tabell2[[#This Row],[ReisetidOslo-T]]&lt;=L$437,100,IF(Tabell2[[#This Row],[ReisetidOslo-T]]&gt;=L$436,0,100*(L$436-Tabell2[[#This Row],[ReisetidOslo-T]])/L$439))</f>
        <v>38.167458866536492</v>
      </c>
      <c r="V251" s="7">
        <f>100-(M$436-Tabell2[[#This Row],[Beftettotal-T]])*100/M$439</f>
        <v>2.4606172750945063</v>
      </c>
      <c r="W251" s="7">
        <f>100-(N$436-Tabell2[[#This Row],[Befvekst10-T]])*100/N$439</f>
        <v>45.581601807880702</v>
      </c>
      <c r="X251" s="7">
        <f>100-(O$436-Tabell2[[#This Row],[Kvinneandel-T]])*100/O$439</f>
        <v>50.803289868930314</v>
      </c>
      <c r="Y251" s="7">
        <f>(P$436-Tabell2[[#This Row],[Eldreandel-T]])*100/P$439</f>
        <v>64.357788696990411</v>
      </c>
      <c r="Z251" s="7">
        <f>100-(Q$436-Tabell2[[#This Row],[Sysselsettingsvekst10-T]])*100/Q$439</f>
        <v>19.86652427308556</v>
      </c>
      <c r="AA251" s="7">
        <f>100-(R$436-Tabell2[[#This Row],[Yrkesaktivandel-T]])*100/R$439</f>
        <v>91.854361405939969</v>
      </c>
      <c r="AB251" s="7">
        <f>100-(S$436-Tabell2[[#This Row],[Inntekt-T]])*100/S$439</f>
        <v>39.075922916182961</v>
      </c>
      <c r="AC251" s="55">
        <f>Tabell2[[#This Row],[NIBR11-I]]*Vekter!$B$3</f>
        <v>10</v>
      </c>
      <c r="AD251" s="55">
        <f>Tabell2[[#This Row],[ReisetidOslo-I]]*Vekter!$C$3</f>
        <v>3.8167458866536492</v>
      </c>
      <c r="AE251" s="55">
        <f>Tabell2[[#This Row],[Beftettotal-I]]*Vekter!$D$3</f>
        <v>0.24606172750945066</v>
      </c>
      <c r="AF251" s="55">
        <f>Tabell2[[#This Row],[Befvekst10-I]]*Vekter!$E$3</f>
        <v>9.1163203615761415</v>
      </c>
      <c r="AG251" s="55">
        <f>Tabell2[[#This Row],[Kvinneandel-I]]*Vekter!$F$3</f>
        <v>2.540164493446516</v>
      </c>
      <c r="AH251" s="55">
        <f>Tabell2[[#This Row],[Eldreandel-I]]*Vekter!$G$3</f>
        <v>3.2178894348495208</v>
      </c>
      <c r="AI251" s="55">
        <f>Tabell2[[#This Row],[Sysselsettingsvekst10-I]]*Vekter!$H$3</f>
        <v>1.986652427308556</v>
      </c>
      <c r="AJ251" s="55">
        <f>Tabell2[[#This Row],[Yrkesaktivandel-I]]*Vekter!$J$3</f>
        <v>9.1854361405939979</v>
      </c>
      <c r="AK251" s="55">
        <f>Tabell2[[#This Row],[Inntekt-I]]*Vekter!$L$3</f>
        <v>3.9075922916182964</v>
      </c>
      <c r="AL251" s="56">
        <f>SUM(Tabell2[[#This Row],[NIBR11-v]:[Inntekt-v]])</f>
        <v>44.016862763556126</v>
      </c>
    </row>
    <row r="252" spans="1:38" x14ac:dyDescent="0.25">
      <c r="A252" s="2" t="s">
        <v>249</v>
      </c>
      <c r="B252">
        <f>'Rådata-K'!M251</f>
        <v>6</v>
      </c>
      <c r="C252" s="7">
        <f>'Rådata-K'!L251</f>
        <v>169.38333333330002</v>
      </c>
      <c r="D252" s="34">
        <f>'Rådata-K'!N251</f>
        <v>21.858511346754778</v>
      </c>
      <c r="E252" s="34">
        <f>'Rådata-K'!O251</f>
        <v>0.14796879203658864</v>
      </c>
      <c r="F252" s="34">
        <f>'Rådata-K'!P251</f>
        <v>0.13327083821576438</v>
      </c>
      <c r="G252" s="34">
        <f>'Rådata-K'!Q251</f>
        <v>0.1039762518553238</v>
      </c>
      <c r="H252" s="34">
        <f>'Rådata-K'!R251</f>
        <v>0.20357142857142851</v>
      </c>
      <c r="I252" s="34">
        <f>'Rådata-K'!S251</f>
        <v>0.94759539989545216</v>
      </c>
      <c r="J252" s="22">
        <f>'Rådata-K'!K251</f>
        <v>411100</v>
      </c>
      <c r="K252" s="22">
        <f>Tabell2[[#This Row],[NIBR11]]</f>
        <v>6</v>
      </c>
      <c r="L252" s="32">
        <f>IF(Tabell2[[#This Row],[ReisetidOslo]]&lt;=C$434,C$434,IF(Tabell2[[#This Row],[ReisetidOslo]]&gt;=C$435,C$435,Tabell2[[#This Row],[ReisetidOslo]]))</f>
        <v>169.38333333330002</v>
      </c>
      <c r="M252" s="32">
        <f>IF(Tabell2[[#This Row],[Beftettotal]]&lt;=D$434,D$434,IF(Tabell2[[#This Row],[Beftettotal]]&gt;=D$435,D$435,Tabell2[[#This Row],[Beftettotal]]))</f>
        <v>21.858511346754778</v>
      </c>
      <c r="N252" s="34">
        <f>IF(Tabell2[[#This Row],[Befvekst10]]&lt;=E$434,E$434,IF(Tabell2[[#This Row],[Befvekst10]]&gt;=E$435,E$435,Tabell2[[#This Row],[Befvekst10]]))</f>
        <v>0.14796879203658864</v>
      </c>
      <c r="O252" s="34">
        <f>IF(Tabell2[[#This Row],[Kvinneandel]]&lt;=F$434,F$434,IF(Tabell2[[#This Row],[Kvinneandel]]&gt;=F$435,F$435,Tabell2[[#This Row],[Kvinneandel]]))</f>
        <v>0.12833341426573511</v>
      </c>
      <c r="P252" s="34">
        <f>IF(Tabell2[[#This Row],[Eldreandel]]&lt;=G$434,G$434,IF(Tabell2[[#This Row],[Eldreandel]]&gt;=G$435,G$435,Tabell2[[#This Row],[Eldreandel]]))</f>
        <v>0.12312339657223466</v>
      </c>
      <c r="Q252" s="34">
        <f>IF(Tabell2[[#This Row],[Sysselsettingsvekst10]]&lt;=H$434,H$434,IF(Tabell2[[#This Row],[Sysselsettingsvekst10]]&gt;=H$435,H$435,Tabell2[[#This Row],[Sysselsettingsvekst10]]))</f>
        <v>0.20357142857142851</v>
      </c>
      <c r="R252" s="34">
        <f>IF(Tabell2[[#This Row],[Yrkesaktivandel]]&lt;=I$434,I$434,IF(Tabell2[[#This Row],[Yrkesaktivandel]]&gt;=I$435,I$435,Tabell2[[#This Row],[Yrkesaktivandel]]))</f>
        <v>0.94759539989545216</v>
      </c>
      <c r="S252" s="22">
        <f>IF(Tabell2[[#This Row],[Inntekt]]&lt;=J$434,J$434,IF(Tabell2[[#This Row],[Inntekt]]&gt;=J$435,J$435,Tabell2[[#This Row],[Inntekt]]))</f>
        <v>411100</v>
      </c>
      <c r="T252" s="22">
        <f>IF(Tabell2[[#This Row],[NIBR11-T]]&lt;=K$437,100,IF(Tabell2[[#This Row],[NIBR11-T]]&gt;=K$436,0,100*(K$436-Tabell2[[#This Row],[NIBR11-T]])/K$439))</f>
        <v>50</v>
      </c>
      <c r="U252" s="7">
        <f>IF(Tabell2[[#This Row],[ReisetidOslo-T]]&lt;=L$437,100,IF(Tabell2[[#This Row],[ReisetidOslo-T]]&gt;=L$436,0,100*(L$436-Tabell2[[#This Row],[ReisetidOslo-T]])/L$439))</f>
        <v>48.734186471683486</v>
      </c>
      <c r="V252" s="7">
        <f>100-(M$436-Tabell2[[#This Row],[Beftettotal-T]])*100/M$439</f>
        <v>15.880432805662878</v>
      </c>
      <c r="W252" s="7">
        <f>100-(N$436-Tabell2[[#This Row],[Befvekst10-T]])*100/N$439</f>
        <v>90.257002411193866</v>
      </c>
      <c r="X252" s="7">
        <f>100-(O$436-Tabell2[[#This Row],[Kvinneandel-T]])*100/O$439</f>
        <v>100</v>
      </c>
      <c r="Y252" s="7">
        <f>(P$436-Tabell2[[#This Row],[Eldreandel-T]])*100/P$439</f>
        <v>100</v>
      </c>
      <c r="Z252" s="7">
        <f>100-(Q$436-Tabell2[[#This Row],[Sysselsettingsvekst10-T]])*100/Q$439</f>
        <v>81.319389550880572</v>
      </c>
      <c r="AA252" s="7">
        <f>100-(R$436-Tabell2[[#This Row],[Yrkesaktivandel-T]])*100/R$439</f>
        <v>88.899165163670318</v>
      </c>
      <c r="AB252" s="7">
        <f>100-(S$436-Tabell2[[#This Row],[Inntekt-T]])*100/S$439</f>
        <v>92.245182261434877</v>
      </c>
      <c r="AC252" s="55">
        <f>Tabell2[[#This Row],[NIBR11-I]]*Vekter!$B$3</f>
        <v>10</v>
      </c>
      <c r="AD252" s="55">
        <f>Tabell2[[#This Row],[ReisetidOslo-I]]*Vekter!$C$3</f>
        <v>4.8734186471683492</v>
      </c>
      <c r="AE252" s="55">
        <f>Tabell2[[#This Row],[Beftettotal-I]]*Vekter!$D$3</f>
        <v>1.5880432805662879</v>
      </c>
      <c r="AF252" s="55">
        <f>Tabell2[[#This Row],[Befvekst10-I]]*Vekter!$E$3</f>
        <v>18.051400482238773</v>
      </c>
      <c r="AG252" s="55">
        <f>Tabell2[[#This Row],[Kvinneandel-I]]*Vekter!$F$3</f>
        <v>5</v>
      </c>
      <c r="AH252" s="55">
        <f>Tabell2[[#This Row],[Eldreandel-I]]*Vekter!$G$3</f>
        <v>5</v>
      </c>
      <c r="AI252" s="55">
        <f>Tabell2[[#This Row],[Sysselsettingsvekst10-I]]*Vekter!$H$3</f>
        <v>8.1319389550880583</v>
      </c>
      <c r="AJ252" s="55">
        <f>Tabell2[[#This Row],[Yrkesaktivandel-I]]*Vekter!$J$3</f>
        <v>8.8899165163670322</v>
      </c>
      <c r="AK252" s="55">
        <f>Tabell2[[#This Row],[Inntekt-I]]*Vekter!$L$3</f>
        <v>9.2245182261434877</v>
      </c>
      <c r="AL252" s="56">
        <f>SUM(Tabell2[[#This Row],[NIBR11-v]:[Inntekt-v]])</f>
        <v>70.759236107571979</v>
      </c>
    </row>
    <row r="253" spans="1:38" x14ac:dyDescent="0.25">
      <c r="A253" s="2" t="s">
        <v>250</v>
      </c>
      <c r="B253">
        <f>'Rådata-K'!M252</f>
        <v>6</v>
      </c>
      <c r="C253" s="7">
        <f>'Rådata-K'!L252</f>
        <v>179.63333333330002</v>
      </c>
      <c r="D253" s="34">
        <f>'Rådata-K'!N252</f>
        <v>7.5198353597443743</v>
      </c>
      <c r="E253" s="34">
        <f>'Rådata-K'!O252</f>
        <v>3.5421327367636035E-2</v>
      </c>
      <c r="F253" s="34">
        <f>'Rådata-K'!P252</f>
        <v>0.11307166006481816</v>
      </c>
      <c r="G253" s="34">
        <f>'Rådata-K'!Q252</f>
        <v>0.1609650702196615</v>
      </c>
      <c r="H253" s="34">
        <f>'Rådata-K'!R252</f>
        <v>-1.3473053892215536E-2</v>
      </c>
      <c r="I253" s="34">
        <f>'Rådata-K'!S252</f>
        <v>0.96375404530744335</v>
      </c>
      <c r="J253" s="22">
        <f>'Rådata-K'!K252</f>
        <v>379400</v>
      </c>
      <c r="K253" s="22">
        <f>Tabell2[[#This Row],[NIBR11]]</f>
        <v>6</v>
      </c>
      <c r="L253" s="32">
        <f>IF(Tabell2[[#This Row],[ReisetidOslo]]&lt;=C$434,C$434,IF(Tabell2[[#This Row],[ReisetidOslo]]&gt;=C$435,C$435,Tabell2[[#This Row],[ReisetidOslo]]))</f>
        <v>179.63333333330002</v>
      </c>
      <c r="M253" s="32">
        <f>IF(Tabell2[[#This Row],[Beftettotal]]&lt;=D$434,D$434,IF(Tabell2[[#This Row],[Beftettotal]]&gt;=D$435,D$435,Tabell2[[#This Row],[Beftettotal]]))</f>
        <v>7.5198353597443743</v>
      </c>
      <c r="N253" s="34">
        <f>IF(Tabell2[[#This Row],[Befvekst10]]&lt;=E$434,E$434,IF(Tabell2[[#This Row],[Befvekst10]]&gt;=E$435,E$435,Tabell2[[#This Row],[Befvekst10]]))</f>
        <v>3.5421327367636035E-2</v>
      </c>
      <c r="O253" s="34">
        <f>IF(Tabell2[[#This Row],[Kvinneandel]]&lt;=F$434,F$434,IF(Tabell2[[#This Row],[Kvinneandel]]&gt;=F$435,F$435,Tabell2[[#This Row],[Kvinneandel]]))</f>
        <v>0.11307166006481816</v>
      </c>
      <c r="P253" s="34">
        <f>IF(Tabell2[[#This Row],[Eldreandel]]&lt;=G$434,G$434,IF(Tabell2[[#This Row],[Eldreandel]]&gt;=G$435,G$435,Tabell2[[#This Row],[Eldreandel]]))</f>
        <v>0.1609650702196615</v>
      </c>
      <c r="Q253" s="34">
        <f>IF(Tabell2[[#This Row],[Sysselsettingsvekst10]]&lt;=H$434,H$434,IF(Tabell2[[#This Row],[Sysselsettingsvekst10]]&gt;=H$435,H$435,Tabell2[[#This Row],[Sysselsettingsvekst10]]))</f>
        <v>-1.3473053892215536E-2</v>
      </c>
      <c r="R253" s="34">
        <f>IF(Tabell2[[#This Row],[Yrkesaktivandel]]&lt;=I$434,I$434,IF(Tabell2[[#This Row],[Yrkesaktivandel]]&gt;=I$435,I$435,Tabell2[[#This Row],[Yrkesaktivandel]]))</f>
        <v>0.96203284815106216</v>
      </c>
      <c r="S253" s="22">
        <f>IF(Tabell2[[#This Row],[Inntekt]]&lt;=J$434,J$434,IF(Tabell2[[#This Row],[Inntekt]]&gt;=J$435,J$435,Tabell2[[#This Row],[Inntekt]]))</f>
        <v>379400</v>
      </c>
      <c r="T253" s="22">
        <f>IF(Tabell2[[#This Row],[NIBR11-T]]&lt;=K$437,100,IF(Tabell2[[#This Row],[NIBR11-T]]&gt;=K$436,0,100*(K$436-Tabell2[[#This Row],[NIBR11-T]])/K$439))</f>
        <v>50</v>
      </c>
      <c r="U253" s="7">
        <f>IF(Tabell2[[#This Row],[ReisetidOslo-T]]&lt;=L$437,100,IF(Tabell2[[#This Row],[ReisetidOslo-T]]&gt;=L$436,0,100*(L$436-Tabell2[[#This Row],[ReisetidOslo-T]])/L$439))</f>
        <v>44.2369287020313</v>
      </c>
      <c r="V253" s="7">
        <f>100-(M$436-Tabell2[[#This Row],[Beftettotal-T]])*100/M$439</f>
        <v>4.788452043275484</v>
      </c>
      <c r="W253" s="7">
        <f>100-(N$436-Tabell2[[#This Row],[Befvekst10-T]])*100/N$439</f>
        <v>44.94127905178928</v>
      </c>
      <c r="X253" s="7">
        <f>100-(O$436-Tabell2[[#This Row],[Kvinneandel-T]])*100/O$439</f>
        <v>59.671097334989227</v>
      </c>
      <c r="Y253" s="7">
        <f>(P$436-Tabell2[[#This Row],[Eldreandel-T]])*100/P$439</f>
        <v>58.534912749443762</v>
      </c>
      <c r="Z253" s="7">
        <f>100-(Q$436-Tabell2[[#This Row],[Sysselsettingsvekst10-T]])*100/Q$439</f>
        <v>16.739777884241164</v>
      </c>
      <c r="AA253" s="7">
        <f>100-(R$436-Tabell2[[#This Row],[Yrkesaktivandel-T]])*100/R$439</f>
        <v>100</v>
      </c>
      <c r="AB253" s="7">
        <f>100-(S$436-Tabell2[[#This Row],[Inntekt-T]])*100/S$439</f>
        <v>55.444625029022518</v>
      </c>
      <c r="AC253" s="55">
        <f>Tabell2[[#This Row],[NIBR11-I]]*Vekter!$B$3</f>
        <v>10</v>
      </c>
      <c r="AD253" s="55">
        <f>Tabell2[[#This Row],[ReisetidOslo-I]]*Vekter!$C$3</f>
        <v>4.42369287020313</v>
      </c>
      <c r="AE253" s="55">
        <f>Tabell2[[#This Row],[Beftettotal-I]]*Vekter!$D$3</f>
        <v>0.4788452043275484</v>
      </c>
      <c r="AF253" s="55">
        <f>Tabell2[[#This Row],[Befvekst10-I]]*Vekter!$E$3</f>
        <v>8.988255810357856</v>
      </c>
      <c r="AG253" s="55">
        <f>Tabell2[[#This Row],[Kvinneandel-I]]*Vekter!$F$3</f>
        <v>2.9835548667494614</v>
      </c>
      <c r="AH253" s="55">
        <f>Tabell2[[#This Row],[Eldreandel-I]]*Vekter!$G$3</f>
        <v>2.9267456374721883</v>
      </c>
      <c r="AI253" s="55">
        <f>Tabell2[[#This Row],[Sysselsettingsvekst10-I]]*Vekter!$H$3</f>
        <v>1.6739777884241165</v>
      </c>
      <c r="AJ253" s="55">
        <f>Tabell2[[#This Row],[Yrkesaktivandel-I]]*Vekter!$J$3</f>
        <v>10</v>
      </c>
      <c r="AK253" s="55">
        <f>Tabell2[[#This Row],[Inntekt-I]]*Vekter!$L$3</f>
        <v>5.5444625029022525</v>
      </c>
      <c r="AL253" s="56">
        <f>SUM(Tabell2[[#This Row],[NIBR11-v]:[Inntekt-v]])</f>
        <v>47.01953468043655</v>
      </c>
    </row>
    <row r="254" spans="1:38" x14ac:dyDescent="0.25">
      <c r="A254" s="2" t="s">
        <v>251</v>
      </c>
      <c r="B254">
        <f>'Rådata-K'!M253</f>
        <v>11</v>
      </c>
      <c r="C254" s="7">
        <f>'Rådata-K'!L253</f>
        <v>214.5666666667</v>
      </c>
      <c r="D254" s="34">
        <f>'Rådata-K'!N253</f>
        <v>4.6739078194838273</v>
      </c>
      <c r="E254" s="34">
        <f>'Rådata-K'!O253</f>
        <v>-3.4978913420987356E-2</v>
      </c>
      <c r="F254" s="34">
        <f>'Rådata-K'!P253</f>
        <v>9.1773778920308482E-2</v>
      </c>
      <c r="G254" s="34">
        <f>'Rådata-K'!Q253</f>
        <v>0.21105398457583546</v>
      </c>
      <c r="H254" s="34">
        <f>'Rådata-K'!R253</f>
        <v>-1.0487353485502782E-2</v>
      </c>
      <c r="I254" s="34">
        <f>'Rådata-K'!S253</f>
        <v>0.91075855230540403</v>
      </c>
      <c r="J254" s="22">
        <f>'Rådata-K'!K253</f>
        <v>347400</v>
      </c>
      <c r="K254" s="22">
        <f>Tabell2[[#This Row],[NIBR11]]</f>
        <v>11</v>
      </c>
      <c r="L254" s="32">
        <f>IF(Tabell2[[#This Row],[ReisetidOslo]]&lt;=C$434,C$434,IF(Tabell2[[#This Row],[ReisetidOslo]]&gt;=C$435,C$435,Tabell2[[#This Row],[ReisetidOslo]]))</f>
        <v>214.5666666667</v>
      </c>
      <c r="M254" s="32">
        <f>IF(Tabell2[[#This Row],[Beftettotal]]&lt;=D$434,D$434,IF(Tabell2[[#This Row],[Beftettotal]]&gt;=D$435,D$435,Tabell2[[#This Row],[Beftettotal]]))</f>
        <v>4.6739078194838273</v>
      </c>
      <c r="N254" s="34">
        <f>IF(Tabell2[[#This Row],[Befvekst10]]&lt;=E$434,E$434,IF(Tabell2[[#This Row],[Befvekst10]]&gt;=E$435,E$435,Tabell2[[#This Row],[Befvekst10]]))</f>
        <v>-3.4978913420987356E-2</v>
      </c>
      <c r="O254" s="34">
        <f>IF(Tabell2[[#This Row],[Kvinneandel]]&lt;=F$434,F$434,IF(Tabell2[[#This Row],[Kvinneandel]]&gt;=F$435,F$435,Tabell2[[#This Row],[Kvinneandel]]))</f>
        <v>9.1773778920308482E-2</v>
      </c>
      <c r="P254" s="34">
        <f>IF(Tabell2[[#This Row],[Eldreandel]]&lt;=G$434,G$434,IF(Tabell2[[#This Row],[Eldreandel]]&gt;=G$435,G$435,Tabell2[[#This Row],[Eldreandel]]))</f>
        <v>0.21105398457583546</v>
      </c>
      <c r="Q254" s="34">
        <f>IF(Tabell2[[#This Row],[Sysselsettingsvekst10]]&lt;=H$434,H$434,IF(Tabell2[[#This Row],[Sysselsettingsvekst10]]&gt;=H$435,H$435,Tabell2[[#This Row],[Sysselsettingsvekst10]]))</f>
        <v>-1.0487353485502782E-2</v>
      </c>
      <c r="R254" s="34">
        <f>IF(Tabell2[[#This Row],[Yrkesaktivandel]]&lt;=I$434,I$434,IF(Tabell2[[#This Row],[Yrkesaktivandel]]&gt;=I$435,I$435,Tabell2[[#This Row],[Yrkesaktivandel]]))</f>
        <v>0.91075855230540403</v>
      </c>
      <c r="S254" s="22">
        <f>IF(Tabell2[[#This Row],[Inntekt]]&lt;=J$434,J$434,IF(Tabell2[[#This Row],[Inntekt]]&gt;=J$435,J$435,Tabell2[[#This Row],[Inntekt]]))</f>
        <v>347400</v>
      </c>
      <c r="T254" s="22">
        <f>IF(Tabell2[[#This Row],[NIBR11-T]]&lt;=K$437,100,IF(Tabell2[[#This Row],[NIBR11-T]]&gt;=K$436,0,100*(K$436-Tabell2[[#This Row],[NIBR11-T]])/K$439))</f>
        <v>0</v>
      </c>
      <c r="U254" s="7">
        <f>IF(Tabell2[[#This Row],[ReisetidOslo-T]]&lt;=L$437,100,IF(Tabell2[[#This Row],[ReisetidOslo-T]]&gt;=L$436,0,100*(L$436-Tabell2[[#This Row],[ReisetidOslo-T]])/L$439))</f>
        <v>28.909689213886622</v>
      </c>
      <c r="V254" s="7">
        <f>100-(M$436-Tabell2[[#This Row],[Beftettotal-T]])*100/M$439</f>
        <v>2.5869256571352821</v>
      </c>
      <c r="W254" s="7">
        <f>100-(N$436-Tabell2[[#This Row],[Befvekst10-T]])*100/N$439</f>
        <v>16.595568685087542</v>
      </c>
      <c r="X254" s="7">
        <f>100-(O$436-Tabell2[[#This Row],[Kvinneandel-T]])*100/O$439</f>
        <v>3.3918410751620769</v>
      </c>
      <c r="Y254" s="7">
        <f>(P$436-Tabell2[[#This Row],[Eldreandel-T]])*100/P$439</f>
        <v>3.6498877525216051</v>
      </c>
      <c r="Z254" s="7">
        <f>100-(Q$436-Tabell2[[#This Row],[Sysselsettingsvekst10-T]])*100/Q$439</f>
        <v>17.628145884338721</v>
      </c>
      <c r="AA254" s="7">
        <f>100-(R$436-Tabell2[[#This Row],[Yrkesaktivandel-T]])*100/R$439</f>
        <v>60.575617002777136</v>
      </c>
      <c r="AB254" s="7">
        <f>100-(S$436-Tabell2[[#This Row],[Inntekt-T]])*100/S$439</f>
        <v>18.295797538890184</v>
      </c>
      <c r="AC254" s="55">
        <f>Tabell2[[#This Row],[NIBR11-I]]*Vekter!$B$3</f>
        <v>0</v>
      </c>
      <c r="AD254" s="55">
        <f>Tabell2[[#This Row],[ReisetidOslo-I]]*Vekter!$C$3</f>
        <v>2.8909689213886622</v>
      </c>
      <c r="AE254" s="55">
        <f>Tabell2[[#This Row],[Beftettotal-I]]*Vekter!$D$3</f>
        <v>0.25869256571352822</v>
      </c>
      <c r="AF254" s="55">
        <f>Tabell2[[#This Row],[Befvekst10-I]]*Vekter!$E$3</f>
        <v>3.3191137370175086</v>
      </c>
      <c r="AG254" s="55">
        <f>Tabell2[[#This Row],[Kvinneandel-I]]*Vekter!$F$3</f>
        <v>0.16959205375810385</v>
      </c>
      <c r="AH254" s="55">
        <f>Tabell2[[#This Row],[Eldreandel-I]]*Vekter!$G$3</f>
        <v>0.18249438762608028</v>
      </c>
      <c r="AI254" s="55">
        <f>Tabell2[[#This Row],[Sysselsettingsvekst10-I]]*Vekter!$H$3</f>
        <v>1.7628145884338722</v>
      </c>
      <c r="AJ254" s="55">
        <f>Tabell2[[#This Row],[Yrkesaktivandel-I]]*Vekter!$J$3</f>
        <v>6.0575617002777138</v>
      </c>
      <c r="AK254" s="55">
        <f>Tabell2[[#This Row],[Inntekt-I]]*Vekter!$L$3</f>
        <v>1.8295797538890186</v>
      </c>
      <c r="AL254" s="56">
        <f>SUM(Tabell2[[#This Row],[NIBR11-v]:[Inntekt-v]])</f>
        <v>16.470817708104487</v>
      </c>
    </row>
    <row r="255" spans="1:38" x14ac:dyDescent="0.25">
      <c r="A255" s="2" t="s">
        <v>252</v>
      </c>
      <c r="B255">
        <f>'Rådata-K'!M254</f>
        <v>9</v>
      </c>
      <c r="C255" s="7">
        <f>'Rådata-K'!L254</f>
        <v>218.63333333330002</v>
      </c>
      <c r="D255" s="34">
        <f>'Rådata-K'!N254</f>
        <v>34.427714253368052</v>
      </c>
      <c r="E255" s="34">
        <f>'Rådata-K'!O254</f>
        <v>-2.1871984560952074E-2</v>
      </c>
      <c r="F255" s="34">
        <f>'Rådata-K'!P254</f>
        <v>0.10128247287076619</v>
      </c>
      <c r="G255" s="34">
        <f>'Rådata-K'!Q254</f>
        <v>0.17280499835580401</v>
      </c>
      <c r="H255" s="34">
        <f>'Rådata-K'!R254</f>
        <v>-5.020080321285092E-3</v>
      </c>
      <c r="I255" s="34">
        <f>'Rådata-K'!S254</f>
        <v>0.89378698224852071</v>
      </c>
      <c r="J255" s="22">
        <f>'Rådata-K'!K254</f>
        <v>375800</v>
      </c>
      <c r="K255" s="22">
        <f>Tabell2[[#This Row],[NIBR11]]</f>
        <v>9</v>
      </c>
      <c r="L255" s="32">
        <f>IF(Tabell2[[#This Row],[ReisetidOslo]]&lt;=C$434,C$434,IF(Tabell2[[#This Row],[ReisetidOslo]]&gt;=C$435,C$435,Tabell2[[#This Row],[ReisetidOslo]]))</f>
        <v>218.63333333330002</v>
      </c>
      <c r="M255" s="32">
        <f>IF(Tabell2[[#This Row],[Beftettotal]]&lt;=D$434,D$434,IF(Tabell2[[#This Row],[Beftettotal]]&gt;=D$435,D$435,Tabell2[[#This Row],[Beftettotal]]))</f>
        <v>34.427714253368052</v>
      </c>
      <c r="N255" s="34">
        <f>IF(Tabell2[[#This Row],[Befvekst10]]&lt;=E$434,E$434,IF(Tabell2[[#This Row],[Befvekst10]]&gt;=E$435,E$435,Tabell2[[#This Row],[Befvekst10]]))</f>
        <v>-2.1871984560952074E-2</v>
      </c>
      <c r="O255" s="34">
        <f>IF(Tabell2[[#This Row],[Kvinneandel]]&lt;=F$434,F$434,IF(Tabell2[[#This Row],[Kvinneandel]]&gt;=F$435,F$435,Tabell2[[#This Row],[Kvinneandel]]))</f>
        <v>0.10128247287076619</v>
      </c>
      <c r="P255" s="34">
        <f>IF(Tabell2[[#This Row],[Eldreandel]]&lt;=G$434,G$434,IF(Tabell2[[#This Row],[Eldreandel]]&gt;=G$435,G$435,Tabell2[[#This Row],[Eldreandel]]))</f>
        <v>0.17280499835580401</v>
      </c>
      <c r="Q255" s="34">
        <f>IF(Tabell2[[#This Row],[Sysselsettingsvekst10]]&lt;=H$434,H$434,IF(Tabell2[[#This Row],[Sysselsettingsvekst10]]&gt;=H$435,H$435,Tabell2[[#This Row],[Sysselsettingsvekst10]]))</f>
        <v>-5.020080321285092E-3</v>
      </c>
      <c r="R255" s="34">
        <f>IF(Tabell2[[#This Row],[Yrkesaktivandel]]&lt;=I$434,I$434,IF(Tabell2[[#This Row],[Yrkesaktivandel]]&gt;=I$435,I$435,Tabell2[[#This Row],[Yrkesaktivandel]]))</f>
        <v>0.89378698224852071</v>
      </c>
      <c r="S255" s="22">
        <f>IF(Tabell2[[#This Row],[Inntekt]]&lt;=J$434,J$434,IF(Tabell2[[#This Row],[Inntekt]]&gt;=J$435,J$435,Tabell2[[#This Row],[Inntekt]]))</f>
        <v>375800</v>
      </c>
      <c r="T255" s="22">
        <f>IF(Tabell2[[#This Row],[NIBR11-T]]&lt;=K$437,100,IF(Tabell2[[#This Row],[NIBR11-T]]&gt;=K$436,0,100*(K$436-Tabell2[[#This Row],[NIBR11-T]])/K$439))</f>
        <v>20</v>
      </c>
      <c r="U255" s="7">
        <f>IF(Tabell2[[#This Row],[ReisetidOslo-T]]&lt;=L$437,100,IF(Tabell2[[#This Row],[ReisetidOslo-T]]&gt;=L$436,0,100*(L$436-Tabell2[[#This Row],[ReisetidOslo-T]])/L$439))</f>
        <v>27.125411334574185</v>
      </c>
      <c r="V255" s="7">
        <f>100-(M$436-Tabell2[[#This Row],[Beftettotal-T]])*100/M$439</f>
        <v>25.603600897681844</v>
      </c>
      <c r="W255" s="7">
        <f>100-(N$436-Tabell2[[#This Row],[Befvekst10-T]])*100/N$439</f>
        <v>21.87289735757075</v>
      </c>
      <c r="X255" s="7">
        <f>100-(O$436-Tabell2[[#This Row],[Kvinneandel-T]])*100/O$439</f>
        <v>28.518388636539129</v>
      </c>
      <c r="Y255" s="7">
        <f>(P$436-Tabell2[[#This Row],[Eldreandel-T]])*100/P$439</f>
        <v>45.56128854403422</v>
      </c>
      <c r="Z255" s="7">
        <f>100-(Q$436-Tabell2[[#This Row],[Sysselsettingsvekst10-T]])*100/Q$439</f>
        <v>19.254883287717576</v>
      </c>
      <c r="AA255" s="7">
        <f>100-(R$436-Tabell2[[#This Row],[Yrkesaktivandel-T]])*100/R$439</f>
        <v>47.526316823193568</v>
      </c>
      <c r="AB255" s="7">
        <f>100-(S$436-Tabell2[[#This Row],[Inntekt-T]])*100/S$439</f>
        <v>51.265381936382632</v>
      </c>
      <c r="AC255" s="55">
        <f>Tabell2[[#This Row],[NIBR11-I]]*Vekter!$B$3</f>
        <v>4</v>
      </c>
      <c r="AD255" s="55">
        <f>Tabell2[[#This Row],[ReisetidOslo-I]]*Vekter!$C$3</f>
        <v>2.7125411334574188</v>
      </c>
      <c r="AE255" s="55">
        <f>Tabell2[[#This Row],[Beftettotal-I]]*Vekter!$D$3</f>
        <v>2.5603600897681846</v>
      </c>
      <c r="AF255" s="55">
        <f>Tabell2[[#This Row],[Befvekst10-I]]*Vekter!$E$3</f>
        <v>4.3745794715141502</v>
      </c>
      <c r="AG255" s="55">
        <f>Tabell2[[#This Row],[Kvinneandel-I]]*Vekter!$F$3</f>
        <v>1.4259194318269566</v>
      </c>
      <c r="AH255" s="55">
        <f>Tabell2[[#This Row],[Eldreandel-I]]*Vekter!$G$3</f>
        <v>2.278064427201711</v>
      </c>
      <c r="AI255" s="55">
        <f>Tabell2[[#This Row],[Sysselsettingsvekst10-I]]*Vekter!$H$3</f>
        <v>1.9254883287717577</v>
      </c>
      <c r="AJ255" s="55">
        <f>Tabell2[[#This Row],[Yrkesaktivandel-I]]*Vekter!$J$3</f>
        <v>4.7526316823193566</v>
      </c>
      <c r="AK255" s="55">
        <f>Tabell2[[#This Row],[Inntekt-I]]*Vekter!$L$3</f>
        <v>5.1265381936382637</v>
      </c>
      <c r="AL255" s="56">
        <f>SUM(Tabell2[[#This Row],[NIBR11-v]:[Inntekt-v]])</f>
        <v>29.156122758497801</v>
      </c>
    </row>
    <row r="256" spans="1:38" x14ac:dyDescent="0.25">
      <c r="A256" s="2" t="s">
        <v>253</v>
      </c>
      <c r="B256">
        <f>'Rådata-K'!M255</f>
        <v>9</v>
      </c>
      <c r="C256" s="7">
        <f>'Rådata-K'!L255</f>
        <v>224.96666666670001</v>
      </c>
      <c r="D256" s="34">
        <f>'Rådata-K'!N255</f>
        <v>12.170528922695913</v>
      </c>
      <c r="E256" s="34">
        <f>'Rådata-K'!O255</f>
        <v>-8.2360786928976304E-2</v>
      </c>
      <c r="F256" s="34">
        <f>'Rådata-K'!P255</f>
        <v>9.847383720930232E-2</v>
      </c>
      <c r="G256" s="34">
        <f>'Rådata-K'!Q255</f>
        <v>0.1849563953488372</v>
      </c>
      <c r="H256" s="34">
        <f>'Rådata-K'!R255</f>
        <v>6.708407871198574E-2</v>
      </c>
      <c r="I256" s="34">
        <f>'Rådata-K'!S255</f>
        <v>0.95902181097157968</v>
      </c>
      <c r="J256" s="22">
        <f>'Rådata-K'!K255</f>
        <v>366200</v>
      </c>
      <c r="K256" s="22">
        <f>Tabell2[[#This Row],[NIBR11]]</f>
        <v>9</v>
      </c>
      <c r="L256" s="32">
        <f>IF(Tabell2[[#This Row],[ReisetidOslo]]&lt;=C$434,C$434,IF(Tabell2[[#This Row],[ReisetidOslo]]&gt;=C$435,C$435,Tabell2[[#This Row],[ReisetidOslo]]))</f>
        <v>224.96666666670001</v>
      </c>
      <c r="M256" s="32">
        <f>IF(Tabell2[[#This Row],[Beftettotal]]&lt;=D$434,D$434,IF(Tabell2[[#This Row],[Beftettotal]]&gt;=D$435,D$435,Tabell2[[#This Row],[Beftettotal]]))</f>
        <v>12.170528922695913</v>
      </c>
      <c r="N256" s="34">
        <f>IF(Tabell2[[#This Row],[Befvekst10]]&lt;=E$434,E$434,IF(Tabell2[[#This Row],[Befvekst10]]&gt;=E$435,E$435,Tabell2[[#This Row],[Befvekst10]]))</f>
        <v>-7.6196156394963507E-2</v>
      </c>
      <c r="O256" s="34">
        <f>IF(Tabell2[[#This Row],[Kvinneandel]]&lt;=F$434,F$434,IF(Tabell2[[#This Row],[Kvinneandel]]&gt;=F$435,F$435,Tabell2[[#This Row],[Kvinneandel]]))</f>
        <v>9.847383720930232E-2</v>
      </c>
      <c r="P256" s="34">
        <f>IF(Tabell2[[#This Row],[Eldreandel]]&lt;=G$434,G$434,IF(Tabell2[[#This Row],[Eldreandel]]&gt;=G$435,G$435,Tabell2[[#This Row],[Eldreandel]]))</f>
        <v>0.1849563953488372</v>
      </c>
      <c r="Q256" s="34">
        <f>IF(Tabell2[[#This Row],[Sysselsettingsvekst10]]&lt;=H$434,H$434,IF(Tabell2[[#This Row],[Sysselsettingsvekst10]]&gt;=H$435,H$435,Tabell2[[#This Row],[Sysselsettingsvekst10]]))</f>
        <v>6.708407871198574E-2</v>
      </c>
      <c r="R256" s="34">
        <f>IF(Tabell2[[#This Row],[Yrkesaktivandel]]&lt;=I$434,I$434,IF(Tabell2[[#This Row],[Yrkesaktivandel]]&gt;=I$435,I$435,Tabell2[[#This Row],[Yrkesaktivandel]]))</f>
        <v>0.95902181097157968</v>
      </c>
      <c r="S256" s="22">
        <f>IF(Tabell2[[#This Row],[Inntekt]]&lt;=J$434,J$434,IF(Tabell2[[#This Row],[Inntekt]]&gt;=J$435,J$435,Tabell2[[#This Row],[Inntekt]]))</f>
        <v>366200</v>
      </c>
      <c r="T256" s="22">
        <f>IF(Tabell2[[#This Row],[NIBR11-T]]&lt;=K$437,100,IF(Tabell2[[#This Row],[NIBR11-T]]&gt;=K$436,0,100*(K$436-Tabell2[[#This Row],[NIBR11-T]])/K$439))</f>
        <v>20</v>
      </c>
      <c r="U256" s="7">
        <f>IF(Tabell2[[#This Row],[ReisetidOslo-T]]&lt;=L$437,100,IF(Tabell2[[#This Row],[ReisetidOslo-T]]&gt;=L$436,0,100*(L$436-Tabell2[[#This Row],[ReisetidOslo-T]])/L$439))</f>
        <v>24.346617915898054</v>
      </c>
      <c r="V256" s="7">
        <f>100-(M$436-Tabell2[[#This Row],[Beftettotal-T]])*100/M$439</f>
        <v>8.386092688670459</v>
      </c>
      <c r="W256" s="7">
        <f>100-(N$436-Tabell2[[#This Row],[Befvekst10-T]])*100/N$439</f>
        <v>0</v>
      </c>
      <c r="X256" s="7">
        <f>100-(O$436-Tabell2[[#This Row],[Kvinneandel-T]])*100/O$439</f>
        <v>21.096620947091637</v>
      </c>
      <c r="Y256" s="7">
        <f>(P$436-Tabell2[[#This Row],[Eldreandel-T]])*100/P$439</f>
        <v>32.246371734942997</v>
      </c>
      <c r="Z256" s="7">
        <f>100-(Q$436-Tabell2[[#This Row],[Sysselsettingsvekst10-T]])*100/Q$439</f>
        <v>40.708819997203939</v>
      </c>
      <c r="AA256" s="7">
        <f>100-(R$436-Tabell2[[#This Row],[Yrkesaktivandel-T]])*100/R$439</f>
        <v>97.684838357602771</v>
      </c>
      <c r="AB256" s="7">
        <f>100-(S$436-Tabell2[[#This Row],[Inntekt-T]])*100/S$439</f>
        <v>40.120733689342927</v>
      </c>
      <c r="AC256" s="55">
        <f>Tabell2[[#This Row],[NIBR11-I]]*Vekter!$B$3</f>
        <v>4</v>
      </c>
      <c r="AD256" s="55">
        <f>Tabell2[[#This Row],[ReisetidOslo-I]]*Vekter!$C$3</f>
        <v>2.4346617915898054</v>
      </c>
      <c r="AE256" s="55">
        <f>Tabell2[[#This Row],[Beftettotal-I]]*Vekter!$D$3</f>
        <v>0.8386092688670459</v>
      </c>
      <c r="AF256" s="55">
        <f>Tabell2[[#This Row],[Befvekst10-I]]*Vekter!$E$3</f>
        <v>0</v>
      </c>
      <c r="AG256" s="55">
        <f>Tabell2[[#This Row],[Kvinneandel-I]]*Vekter!$F$3</f>
        <v>1.0548310473545819</v>
      </c>
      <c r="AH256" s="55">
        <f>Tabell2[[#This Row],[Eldreandel-I]]*Vekter!$G$3</f>
        <v>1.6123185867471499</v>
      </c>
      <c r="AI256" s="55">
        <f>Tabell2[[#This Row],[Sysselsettingsvekst10-I]]*Vekter!$H$3</f>
        <v>4.0708819997203944</v>
      </c>
      <c r="AJ256" s="55">
        <f>Tabell2[[#This Row],[Yrkesaktivandel-I]]*Vekter!$J$3</f>
        <v>9.7684838357602786</v>
      </c>
      <c r="AK256" s="55">
        <f>Tabell2[[#This Row],[Inntekt-I]]*Vekter!$L$3</f>
        <v>4.0120733689342929</v>
      </c>
      <c r="AL256" s="56">
        <f>SUM(Tabell2[[#This Row],[NIBR11-v]:[Inntekt-v]])</f>
        <v>27.791859898973549</v>
      </c>
    </row>
    <row r="257" spans="1:38" x14ac:dyDescent="0.25">
      <c r="A257" s="2" t="s">
        <v>254</v>
      </c>
      <c r="B257">
        <f>'Rådata-K'!M256</f>
        <v>8</v>
      </c>
      <c r="C257" s="7">
        <f>'Rådata-K'!L256</f>
        <v>174.35</v>
      </c>
      <c r="D257" s="34">
        <f>'Rådata-K'!N256</f>
        <v>12.759473168236649</v>
      </c>
      <c r="E257" s="34">
        <f>'Rådata-K'!O256</f>
        <v>3.8328130419701623E-2</v>
      </c>
      <c r="F257" s="34">
        <f>'Rådata-K'!P256</f>
        <v>0.11090696509103057</v>
      </c>
      <c r="G257" s="34">
        <f>'Rådata-K'!Q256</f>
        <v>0.15299816268581928</v>
      </c>
      <c r="H257" s="34">
        <f>'Rådata-K'!R256</f>
        <v>8.2485875706214795E-2</v>
      </c>
      <c r="I257" s="34">
        <f>'Rådata-K'!S256</f>
        <v>0.94554753309265949</v>
      </c>
      <c r="J257" s="22">
        <f>'Rådata-K'!K256</f>
        <v>375400</v>
      </c>
      <c r="K257" s="22">
        <f>Tabell2[[#This Row],[NIBR11]]</f>
        <v>8</v>
      </c>
      <c r="L257" s="32">
        <f>IF(Tabell2[[#This Row],[ReisetidOslo]]&lt;=C$434,C$434,IF(Tabell2[[#This Row],[ReisetidOslo]]&gt;=C$435,C$435,Tabell2[[#This Row],[ReisetidOslo]]))</f>
        <v>174.35</v>
      </c>
      <c r="M257" s="32">
        <f>IF(Tabell2[[#This Row],[Beftettotal]]&lt;=D$434,D$434,IF(Tabell2[[#This Row],[Beftettotal]]&gt;=D$435,D$435,Tabell2[[#This Row],[Beftettotal]]))</f>
        <v>12.759473168236649</v>
      </c>
      <c r="N257" s="34">
        <f>IF(Tabell2[[#This Row],[Befvekst10]]&lt;=E$434,E$434,IF(Tabell2[[#This Row],[Befvekst10]]&gt;=E$435,E$435,Tabell2[[#This Row],[Befvekst10]]))</f>
        <v>3.8328130419701623E-2</v>
      </c>
      <c r="O257" s="34">
        <f>IF(Tabell2[[#This Row],[Kvinneandel]]&lt;=F$434,F$434,IF(Tabell2[[#This Row],[Kvinneandel]]&gt;=F$435,F$435,Tabell2[[#This Row],[Kvinneandel]]))</f>
        <v>0.11090696509103057</v>
      </c>
      <c r="P257" s="34">
        <f>IF(Tabell2[[#This Row],[Eldreandel]]&lt;=G$434,G$434,IF(Tabell2[[#This Row],[Eldreandel]]&gt;=G$435,G$435,Tabell2[[#This Row],[Eldreandel]]))</f>
        <v>0.15299816268581928</v>
      </c>
      <c r="Q257" s="34">
        <f>IF(Tabell2[[#This Row],[Sysselsettingsvekst10]]&lt;=H$434,H$434,IF(Tabell2[[#This Row],[Sysselsettingsvekst10]]&gt;=H$435,H$435,Tabell2[[#This Row],[Sysselsettingsvekst10]]))</f>
        <v>8.2485875706214795E-2</v>
      </c>
      <c r="R257" s="34">
        <f>IF(Tabell2[[#This Row],[Yrkesaktivandel]]&lt;=I$434,I$434,IF(Tabell2[[#This Row],[Yrkesaktivandel]]&gt;=I$435,I$435,Tabell2[[#This Row],[Yrkesaktivandel]]))</f>
        <v>0.94554753309265949</v>
      </c>
      <c r="S257" s="22">
        <f>IF(Tabell2[[#This Row],[Inntekt]]&lt;=J$434,J$434,IF(Tabell2[[#This Row],[Inntekt]]&gt;=J$435,J$435,Tabell2[[#This Row],[Inntekt]]))</f>
        <v>375400</v>
      </c>
      <c r="T257" s="22">
        <f>IF(Tabell2[[#This Row],[NIBR11-T]]&lt;=K$437,100,IF(Tabell2[[#This Row],[NIBR11-T]]&gt;=K$436,0,100*(K$436-Tabell2[[#This Row],[NIBR11-T]])/K$439))</f>
        <v>30</v>
      </c>
      <c r="U257" s="7">
        <f>IF(Tabell2[[#This Row],[ReisetidOslo-T]]&lt;=L$437,100,IF(Tabell2[[#This Row],[ReisetidOslo-T]]&gt;=L$436,0,100*(L$436-Tabell2[[#This Row],[ReisetidOslo-T]])/L$439))</f>
        <v>46.555027422308946</v>
      </c>
      <c r="V257" s="7">
        <f>100-(M$436-Tabell2[[#This Row],[Beftettotal-T]])*100/M$439</f>
        <v>8.8416827478624214</v>
      </c>
      <c r="W257" s="7">
        <f>100-(N$436-Tabell2[[#This Row],[Befvekst10-T]])*100/N$439</f>
        <v>46.111664216440751</v>
      </c>
      <c r="X257" s="7">
        <f>100-(O$436-Tabell2[[#This Row],[Kvinneandel-T]])*100/O$439</f>
        <v>53.950930980057862</v>
      </c>
      <c r="Y257" s="7">
        <f>(P$436-Tabell2[[#This Row],[Eldreandel-T]])*100/P$439</f>
        <v>67.264667122512947</v>
      </c>
      <c r="Z257" s="7">
        <f>100-(Q$436-Tabell2[[#This Row],[Sysselsettingsvekst10-T]])*100/Q$439</f>
        <v>45.291484608465517</v>
      </c>
      <c r="AA257" s="7">
        <f>100-(R$436-Tabell2[[#This Row],[Yrkesaktivandel-T]])*100/R$439</f>
        <v>87.324577276522703</v>
      </c>
      <c r="AB257" s="7">
        <f>100-(S$436-Tabell2[[#This Row],[Inntekt-T]])*100/S$439</f>
        <v>50.80102159275598</v>
      </c>
      <c r="AC257" s="55">
        <f>Tabell2[[#This Row],[NIBR11-I]]*Vekter!$B$3</f>
        <v>6</v>
      </c>
      <c r="AD257" s="55">
        <f>Tabell2[[#This Row],[ReisetidOslo-I]]*Vekter!$C$3</f>
        <v>4.6555027422308948</v>
      </c>
      <c r="AE257" s="55">
        <f>Tabell2[[#This Row],[Beftettotal-I]]*Vekter!$D$3</f>
        <v>0.88416827478624216</v>
      </c>
      <c r="AF257" s="55">
        <f>Tabell2[[#This Row],[Befvekst10-I]]*Vekter!$E$3</f>
        <v>9.2223328432881502</v>
      </c>
      <c r="AG257" s="55">
        <f>Tabell2[[#This Row],[Kvinneandel-I]]*Vekter!$F$3</f>
        <v>2.6975465490028934</v>
      </c>
      <c r="AH257" s="55">
        <f>Tabell2[[#This Row],[Eldreandel-I]]*Vekter!$G$3</f>
        <v>3.3632333561256473</v>
      </c>
      <c r="AI257" s="55">
        <f>Tabell2[[#This Row],[Sysselsettingsvekst10-I]]*Vekter!$H$3</f>
        <v>4.5291484608465522</v>
      </c>
      <c r="AJ257" s="55">
        <f>Tabell2[[#This Row],[Yrkesaktivandel-I]]*Vekter!$J$3</f>
        <v>8.732457727652271</v>
      </c>
      <c r="AK257" s="55">
        <f>Tabell2[[#This Row],[Inntekt-I]]*Vekter!$L$3</f>
        <v>5.0801021592755982</v>
      </c>
      <c r="AL257" s="56">
        <f>SUM(Tabell2[[#This Row],[NIBR11-v]:[Inntekt-v]])</f>
        <v>45.164492113208247</v>
      </c>
    </row>
    <row r="258" spans="1:38" x14ac:dyDescent="0.25">
      <c r="A258" s="2" t="s">
        <v>255</v>
      </c>
      <c r="B258">
        <f>'Rådata-K'!M257</f>
        <v>8</v>
      </c>
      <c r="C258" s="7">
        <f>'Rådata-K'!L257</f>
        <v>193.63333333330002</v>
      </c>
      <c r="D258" s="34">
        <f>'Rådata-K'!N257</f>
        <v>6.3726513569937371</v>
      </c>
      <c r="E258" s="34">
        <f>'Rådata-K'!O257</f>
        <v>2.0050125313283207E-2</v>
      </c>
      <c r="F258" s="34">
        <f>'Rådata-K'!P257</f>
        <v>0.1162981162981163</v>
      </c>
      <c r="G258" s="34">
        <f>'Rådata-K'!Q257</f>
        <v>0.17854217854217855</v>
      </c>
      <c r="H258" s="34">
        <f>'Rådata-K'!R257</f>
        <v>-0.18571428571428572</v>
      </c>
      <c r="I258" s="34">
        <f>'Rådata-K'!S257</f>
        <v>0.91904047976011993</v>
      </c>
      <c r="J258" s="22">
        <f>'Rådata-K'!K257</f>
        <v>345300</v>
      </c>
      <c r="K258" s="22">
        <f>Tabell2[[#This Row],[NIBR11]]</f>
        <v>8</v>
      </c>
      <c r="L258" s="32">
        <f>IF(Tabell2[[#This Row],[ReisetidOslo]]&lt;=C$434,C$434,IF(Tabell2[[#This Row],[ReisetidOslo]]&gt;=C$435,C$435,Tabell2[[#This Row],[ReisetidOslo]]))</f>
        <v>193.63333333330002</v>
      </c>
      <c r="M258" s="32">
        <f>IF(Tabell2[[#This Row],[Beftettotal]]&lt;=D$434,D$434,IF(Tabell2[[#This Row],[Beftettotal]]&gt;=D$435,D$435,Tabell2[[#This Row],[Beftettotal]]))</f>
        <v>6.3726513569937371</v>
      </c>
      <c r="N258" s="34">
        <f>IF(Tabell2[[#This Row],[Befvekst10]]&lt;=E$434,E$434,IF(Tabell2[[#This Row],[Befvekst10]]&gt;=E$435,E$435,Tabell2[[#This Row],[Befvekst10]]))</f>
        <v>2.0050125313283207E-2</v>
      </c>
      <c r="O258" s="34">
        <f>IF(Tabell2[[#This Row],[Kvinneandel]]&lt;=F$434,F$434,IF(Tabell2[[#This Row],[Kvinneandel]]&gt;=F$435,F$435,Tabell2[[#This Row],[Kvinneandel]]))</f>
        <v>0.1162981162981163</v>
      </c>
      <c r="P258" s="34">
        <f>IF(Tabell2[[#This Row],[Eldreandel]]&lt;=G$434,G$434,IF(Tabell2[[#This Row],[Eldreandel]]&gt;=G$435,G$435,Tabell2[[#This Row],[Eldreandel]]))</f>
        <v>0.17854217854217855</v>
      </c>
      <c r="Q258" s="34">
        <f>IF(Tabell2[[#This Row],[Sysselsettingsvekst10]]&lt;=H$434,H$434,IF(Tabell2[[#This Row],[Sysselsettingsvekst10]]&gt;=H$435,H$435,Tabell2[[#This Row],[Sysselsettingsvekst10]]))</f>
        <v>-6.9733479337269061E-2</v>
      </c>
      <c r="R258" s="34">
        <f>IF(Tabell2[[#This Row],[Yrkesaktivandel]]&lt;=I$434,I$434,IF(Tabell2[[#This Row],[Yrkesaktivandel]]&gt;=I$435,I$435,Tabell2[[#This Row],[Yrkesaktivandel]]))</f>
        <v>0.91904047976011993</v>
      </c>
      <c r="S258" s="22">
        <f>IF(Tabell2[[#This Row],[Inntekt]]&lt;=J$434,J$434,IF(Tabell2[[#This Row],[Inntekt]]&gt;=J$435,J$435,Tabell2[[#This Row],[Inntekt]]))</f>
        <v>345300</v>
      </c>
      <c r="T258" s="22">
        <f>IF(Tabell2[[#This Row],[NIBR11-T]]&lt;=K$437,100,IF(Tabell2[[#This Row],[NIBR11-T]]&gt;=K$436,0,100*(K$436-Tabell2[[#This Row],[NIBR11-T]])/K$439))</f>
        <v>30</v>
      </c>
      <c r="U258" s="7">
        <f>IF(Tabell2[[#This Row],[ReisetidOslo-T]]&lt;=L$437,100,IF(Tabell2[[#This Row],[ReisetidOslo-T]]&gt;=L$436,0,100*(L$436-Tabell2[[#This Row],[ReisetidOslo-T]])/L$439))</f>
        <v>38.094332723969771</v>
      </c>
      <c r="V258" s="7">
        <f>100-(M$436-Tabell2[[#This Row],[Beftettotal-T]])*100/M$439</f>
        <v>3.9010240198683306</v>
      </c>
      <c r="W258" s="7">
        <f>100-(N$436-Tabell2[[#This Row],[Befvekst10-T]])*100/N$439</f>
        <v>38.752271222555464</v>
      </c>
      <c r="X258" s="7">
        <f>100-(O$436-Tabell2[[#This Row],[Kvinneandel-T]])*100/O$439</f>
        <v>68.196948143003198</v>
      </c>
      <c r="Y258" s="7">
        <f>(P$436-Tabell2[[#This Row],[Eldreandel-T]])*100/P$439</f>
        <v>39.274762234002502</v>
      </c>
      <c r="Z258" s="7">
        <f>100-(Q$436-Tabell2[[#This Row],[Sysselsettingsvekst10-T]])*100/Q$439</f>
        <v>0</v>
      </c>
      <c r="AA258" s="7">
        <f>100-(R$436-Tabell2[[#This Row],[Yrkesaktivandel-T]])*100/R$439</f>
        <v>66.943522686216824</v>
      </c>
      <c r="AB258" s="7">
        <f>100-(S$436-Tabell2[[#This Row],[Inntekt-T]])*100/S$439</f>
        <v>15.857905734850249</v>
      </c>
      <c r="AC258" s="55">
        <f>Tabell2[[#This Row],[NIBR11-I]]*Vekter!$B$3</f>
        <v>6</v>
      </c>
      <c r="AD258" s="55">
        <f>Tabell2[[#This Row],[ReisetidOslo-I]]*Vekter!$C$3</f>
        <v>3.8094332723969773</v>
      </c>
      <c r="AE258" s="55">
        <f>Tabell2[[#This Row],[Beftettotal-I]]*Vekter!$D$3</f>
        <v>0.3901024019868331</v>
      </c>
      <c r="AF258" s="55">
        <f>Tabell2[[#This Row],[Befvekst10-I]]*Vekter!$E$3</f>
        <v>7.7504542445110935</v>
      </c>
      <c r="AG258" s="55">
        <f>Tabell2[[#This Row],[Kvinneandel-I]]*Vekter!$F$3</f>
        <v>3.4098474071501599</v>
      </c>
      <c r="AH258" s="55">
        <f>Tabell2[[#This Row],[Eldreandel-I]]*Vekter!$G$3</f>
        <v>1.9637381117001251</v>
      </c>
      <c r="AI258" s="55">
        <f>Tabell2[[#This Row],[Sysselsettingsvekst10-I]]*Vekter!$H$3</f>
        <v>0</v>
      </c>
      <c r="AJ258" s="55">
        <f>Tabell2[[#This Row],[Yrkesaktivandel-I]]*Vekter!$J$3</f>
        <v>6.6943522686216825</v>
      </c>
      <c r="AK258" s="55">
        <f>Tabell2[[#This Row],[Inntekt-I]]*Vekter!$L$3</f>
        <v>1.5857905734850251</v>
      </c>
      <c r="AL258" s="56">
        <f>SUM(Tabell2[[#This Row],[NIBR11-v]:[Inntekt-v]])</f>
        <v>31.603718279851893</v>
      </c>
    </row>
    <row r="259" spans="1:38" x14ac:dyDescent="0.25">
      <c r="A259" s="2" t="s">
        <v>256</v>
      </c>
      <c r="B259">
        <f>'Rådata-K'!M258</f>
        <v>9</v>
      </c>
      <c r="C259" s="7">
        <f>'Rådata-K'!L258</f>
        <v>165.96666666666999</v>
      </c>
      <c r="D259" s="34">
        <f>'Rådata-K'!N258</f>
        <v>5.5780795344325895</v>
      </c>
      <c r="E259" s="34">
        <f>'Rådata-K'!O258</f>
        <v>-7.2501294665976435E-3</v>
      </c>
      <c r="F259" s="34">
        <f>'Rådata-K'!P258</f>
        <v>0.10450356459746131</v>
      </c>
      <c r="G259" s="34">
        <f>'Rådata-K'!Q258</f>
        <v>0.17892540427751696</v>
      </c>
      <c r="H259" s="34">
        <f>'Rådata-K'!R258</f>
        <v>3.3941605839415967E-2</v>
      </c>
      <c r="I259" s="34">
        <f>'Rådata-K'!S258</f>
        <v>1.0009733939000649</v>
      </c>
      <c r="J259" s="22">
        <f>'Rådata-K'!K258</f>
        <v>365400</v>
      </c>
      <c r="K259" s="22">
        <f>Tabell2[[#This Row],[NIBR11]]</f>
        <v>9</v>
      </c>
      <c r="L259" s="32">
        <f>IF(Tabell2[[#This Row],[ReisetidOslo]]&lt;=C$434,C$434,IF(Tabell2[[#This Row],[ReisetidOslo]]&gt;=C$435,C$435,Tabell2[[#This Row],[ReisetidOslo]]))</f>
        <v>165.96666666666999</v>
      </c>
      <c r="M259" s="32">
        <f>IF(Tabell2[[#This Row],[Beftettotal]]&lt;=D$434,D$434,IF(Tabell2[[#This Row],[Beftettotal]]&gt;=D$435,D$435,Tabell2[[#This Row],[Beftettotal]]))</f>
        <v>5.5780795344325895</v>
      </c>
      <c r="N259" s="34">
        <f>IF(Tabell2[[#This Row],[Befvekst10]]&lt;=E$434,E$434,IF(Tabell2[[#This Row],[Befvekst10]]&gt;=E$435,E$435,Tabell2[[#This Row],[Befvekst10]]))</f>
        <v>-7.2501294665976435E-3</v>
      </c>
      <c r="O259" s="34">
        <f>IF(Tabell2[[#This Row],[Kvinneandel]]&lt;=F$434,F$434,IF(Tabell2[[#This Row],[Kvinneandel]]&gt;=F$435,F$435,Tabell2[[#This Row],[Kvinneandel]]))</f>
        <v>0.10450356459746131</v>
      </c>
      <c r="P259" s="34">
        <f>IF(Tabell2[[#This Row],[Eldreandel]]&lt;=G$434,G$434,IF(Tabell2[[#This Row],[Eldreandel]]&gt;=G$435,G$435,Tabell2[[#This Row],[Eldreandel]]))</f>
        <v>0.17892540427751696</v>
      </c>
      <c r="Q259" s="34">
        <f>IF(Tabell2[[#This Row],[Sysselsettingsvekst10]]&lt;=H$434,H$434,IF(Tabell2[[#This Row],[Sysselsettingsvekst10]]&gt;=H$435,H$435,Tabell2[[#This Row],[Sysselsettingsvekst10]]))</f>
        <v>3.3941605839415967E-2</v>
      </c>
      <c r="R259" s="34">
        <f>IF(Tabell2[[#This Row],[Yrkesaktivandel]]&lt;=I$434,I$434,IF(Tabell2[[#This Row],[Yrkesaktivandel]]&gt;=I$435,I$435,Tabell2[[#This Row],[Yrkesaktivandel]]))</f>
        <v>0.96203284815106216</v>
      </c>
      <c r="S259" s="22">
        <f>IF(Tabell2[[#This Row],[Inntekt]]&lt;=J$434,J$434,IF(Tabell2[[#This Row],[Inntekt]]&gt;=J$435,J$435,Tabell2[[#This Row],[Inntekt]]))</f>
        <v>365400</v>
      </c>
      <c r="T259" s="22">
        <f>IF(Tabell2[[#This Row],[NIBR11-T]]&lt;=K$437,100,IF(Tabell2[[#This Row],[NIBR11-T]]&gt;=K$436,0,100*(K$436-Tabell2[[#This Row],[NIBR11-T]])/K$439))</f>
        <v>20</v>
      </c>
      <c r="U259" s="7">
        <f>IF(Tabell2[[#This Row],[ReisetidOslo-T]]&lt;=L$437,100,IF(Tabell2[[#This Row],[ReisetidOslo-T]]&gt;=L$436,0,100*(L$436-Tabell2[[#This Row],[ReisetidOslo-T]])/L$439))</f>
        <v>50.2332723948848</v>
      </c>
      <c r="V259" s="7">
        <f>100-(M$436-Tabell2[[#This Row],[Beftettotal-T]])*100/M$439</f>
        <v>3.2863664756036002</v>
      </c>
      <c r="W259" s="7">
        <f>100-(N$436-Tabell2[[#This Row],[Befvekst10-T]])*100/N$439</f>
        <v>27.760190708922906</v>
      </c>
      <c r="X259" s="7">
        <f>100-(O$436-Tabell2[[#This Row],[Kvinneandel-T]])*100/O$439</f>
        <v>37.030063835262602</v>
      </c>
      <c r="Y259" s="7">
        <f>(P$436-Tabell2[[#This Row],[Eldreandel-T]])*100/P$439</f>
        <v>38.854841891669906</v>
      </c>
      <c r="Z259" s="7">
        <f>100-(Q$436-Tabell2[[#This Row],[Sysselsettingsvekst10-T]])*100/Q$439</f>
        <v>30.847578635580277</v>
      </c>
      <c r="AA259" s="7">
        <f>100-(R$436-Tabell2[[#This Row],[Yrkesaktivandel-T]])*100/R$439</f>
        <v>100</v>
      </c>
      <c r="AB259" s="7">
        <f>100-(S$436-Tabell2[[#This Row],[Inntekt-T]])*100/S$439</f>
        <v>39.192013002089624</v>
      </c>
      <c r="AC259" s="55">
        <f>Tabell2[[#This Row],[NIBR11-I]]*Vekter!$B$3</f>
        <v>4</v>
      </c>
      <c r="AD259" s="55">
        <f>Tabell2[[#This Row],[ReisetidOslo-I]]*Vekter!$C$3</f>
        <v>5.0233272394884807</v>
      </c>
      <c r="AE259" s="55">
        <f>Tabell2[[#This Row],[Beftettotal-I]]*Vekter!$D$3</f>
        <v>0.32863664756036004</v>
      </c>
      <c r="AF259" s="55">
        <f>Tabell2[[#This Row],[Befvekst10-I]]*Vekter!$E$3</f>
        <v>5.5520381417845819</v>
      </c>
      <c r="AG259" s="55">
        <f>Tabell2[[#This Row],[Kvinneandel-I]]*Vekter!$F$3</f>
        <v>1.8515031917631302</v>
      </c>
      <c r="AH259" s="55">
        <f>Tabell2[[#This Row],[Eldreandel-I]]*Vekter!$G$3</f>
        <v>1.9427420945834954</v>
      </c>
      <c r="AI259" s="55">
        <f>Tabell2[[#This Row],[Sysselsettingsvekst10-I]]*Vekter!$H$3</f>
        <v>3.0847578635580279</v>
      </c>
      <c r="AJ259" s="55">
        <f>Tabell2[[#This Row],[Yrkesaktivandel-I]]*Vekter!$J$3</f>
        <v>10</v>
      </c>
      <c r="AK259" s="55">
        <f>Tabell2[[#This Row],[Inntekt-I]]*Vekter!$L$3</f>
        <v>3.9192013002089627</v>
      </c>
      <c r="AL259" s="56">
        <f>SUM(Tabell2[[#This Row],[NIBR11-v]:[Inntekt-v]])</f>
        <v>35.702206478947041</v>
      </c>
    </row>
    <row r="260" spans="1:38" x14ac:dyDescent="0.25">
      <c r="A260" s="2" t="s">
        <v>257</v>
      </c>
      <c r="B260">
        <f>'Rådata-K'!M259</f>
        <v>8</v>
      </c>
      <c r="C260" s="7">
        <f>'Rådata-K'!L259</f>
        <v>202.6</v>
      </c>
      <c r="D260" s="34">
        <f>'Rådata-K'!N259</f>
        <v>5.1953615695728255</v>
      </c>
      <c r="E260" s="34">
        <f>'Rådata-K'!O259</f>
        <v>4.5594037702761936E-2</v>
      </c>
      <c r="F260" s="34">
        <f>'Rådata-K'!P259</f>
        <v>0.10566037735849057</v>
      </c>
      <c r="G260" s="34">
        <f>'Rådata-K'!Q259</f>
        <v>0.15918937805730257</v>
      </c>
      <c r="H260" s="34">
        <f>'Rådata-K'!R259</f>
        <v>1.8037135278514693E-2</v>
      </c>
      <c r="I260" s="34">
        <f>'Rådata-K'!S259</f>
        <v>0.95930087390761543</v>
      </c>
      <c r="J260" s="22">
        <f>'Rådata-K'!K259</f>
        <v>360100</v>
      </c>
      <c r="K260" s="22">
        <f>Tabell2[[#This Row],[NIBR11]]</f>
        <v>8</v>
      </c>
      <c r="L260" s="32">
        <f>IF(Tabell2[[#This Row],[ReisetidOslo]]&lt;=C$434,C$434,IF(Tabell2[[#This Row],[ReisetidOslo]]&gt;=C$435,C$435,Tabell2[[#This Row],[ReisetidOslo]]))</f>
        <v>202.6</v>
      </c>
      <c r="M260" s="32">
        <f>IF(Tabell2[[#This Row],[Beftettotal]]&lt;=D$434,D$434,IF(Tabell2[[#This Row],[Beftettotal]]&gt;=D$435,D$435,Tabell2[[#This Row],[Beftettotal]]))</f>
        <v>5.1953615695728255</v>
      </c>
      <c r="N260" s="34">
        <f>IF(Tabell2[[#This Row],[Befvekst10]]&lt;=E$434,E$434,IF(Tabell2[[#This Row],[Befvekst10]]&gt;=E$435,E$435,Tabell2[[#This Row],[Befvekst10]]))</f>
        <v>4.5594037702761936E-2</v>
      </c>
      <c r="O260" s="34">
        <f>IF(Tabell2[[#This Row],[Kvinneandel]]&lt;=F$434,F$434,IF(Tabell2[[#This Row],[Kvinneandel]]&gt;=F$435,F$435,Tabell2[[#This Row],[Kvinneandel]]))</f>
        <v>0.10566037735849057</v>
      </c>
      <c r="P260" s="34">
        <f>IF(Tabell2[[#This Row],[Eldreandel]]&lt;=G$434,G$434,IF(Tabell2[[#This Row],[Eldreandel]]&gt;=G$435,G$435,Tabell2[[#This Row],[Eldreandel]]))</f>
        <v>0.15918937805730257</v>
      </c>
      <c r="Q260" s="34">
        <f>IF(Tabell2[[#This Row],[Sysselsettingsvekst10]]&lt;=H$434,H$434,IF(Tabell2[[#This Row],[Sysselsettingsvekst10]]&gt;=H$435,H$435,Tabell2[[#This Row],[Sysselsettingsvekst10]]))</f>
        <v>1.8037135278514693E-2</v>
      </c>
      <c r="R260" s="34">
        <f>IF(Tabell2[[#This Row],[Yrkesaktivandel]]&lt;=I$434,I$434,IF(Tabell2[[#This Row],[Yrkesaktivandel]]&gt;=I$435,I$435,Tabell2[[#This Row],[Yrkesaktivandel]]))</f>
        <v>0.95930087390761543</v>
      </c>
      <c r="S260" s="22">
        <f>IF(Tabell2[[#This Row],[Inntekt]]&lt;=J$434,J$434,IF(Tabell2[[#This Row],[Inntekt]]&gt;=J$435,J$435,Tabell2[[#This Row],[Inntekt]]))</f>
        <v>360100</v>
      </c>
      <c r="T260" s="22">
        <f>IF(Tabell2[[#This Row],[NIBR11-T]]&lt;=K$437,100,IF(Tabell2[[#This Row],[NIBR11-T]]&gt;=K$436,0,100*(K$436-Tabell2[[#This Row],[NIBR11-T]])/K$439))</f>
        <v>30</v>
      </c>
      <c r="U260" s="7">
        <f>IF(Tabell2[[#This Row],[ReisetidOslo-T]]&lt;=L$437,100,IF(Tabell2[[#This Row],[ReisetidOslo-T]]&gt;=L$436,0,100*(L$436-Tabell2[[#This Row],[ReisetidOslo-T]])/L$439))</f>
        <v>34.160146252291938</v>
      </c>
      <c r="V260" s="7">
        <f>100-(M$436-Tabell2[[#This Row],[Beftettotal-T]])*100/M$439</f>
        <v>2.9903070411418469</v>
      </c>
      <c r="W260" s="7">
        <f>100-(N$436-Tabell2[[#This Row],[Befvekst10-T]])*100/N$439</f>
        <v>49.037184088103167</v>
      </c>
      <c r="X260" s="7">
        <f>100-(O$436-Tabell2[[#This Row],[Kvinneandel-T]])*100/O$439</f>
        <v>40.086920119737982</v>
      </c>
      <c r="Y260" s="7">
        <f>(P$436-Tabell2[[#This Row],[Eldreandel-T]])*100/P$439</f>
        <v>60.480630878307444</v>
      </c>
      <c r="Z260" s="7">
        <f>100-(Q$436-Tabell2[[#This Row],[Sysselsettingsvekst10-T]])*100/Q$439</f>
        <v>26.115348076535554</v>
      </c>
      <c r="AA260" s="7">
        <f>100-(R$436-Tabell2[[#This Row],[Yrkesaktivandel-T]])*100/R$439</f>
        <v>97.899407546494615</v>
      </c>
      <c r="AB260" s="7">
        <f>100-(S$436-Tabell2[[#This Row],[Inntekt-T]])*100/S$439</f>
        <v>33.039238449036446</v>
      </c>
      <c r="AC260" s="55">
        <f>Tabell2[[#This Row],[NIBR11-I]]*Vekter!$B$3</f>
        <v>6</v>
      </c>
      <c r="AD260" s="55">
        <f>Tabell2[[#This Row],[ReisetidOslo-I]]*Vekter!$C$3</f>
        <v>3.4160146252291939</v>
      </c>
      <c r="AE260" s="55">
        <f>Tabell2[[#This Row],[Beftettotal-I]]*Vekter!$D$3</f>
        <v>0.2990307041141847</v>
      </c>
      <c r="AF260" s="55">
        <f>Tabell2[[#This Row],[Befvekst10-I]]*Vekter!$E$3</f>
        <v>9.8074368176206335</v>
      </c>
      <c r="AG260" s="55">
        <f>Tabell2[[#This Row],[Kvinneandel-I]]*Vekter!$F$3</f>
        <v>2.0043460059868994</v>
      </c>
      <c r="AH260" s="55">
        <f>Tabell2[[#This Row],[Eldreandel-I]]*Vekter!$G$3</f>
        <v>3.0240315439153722</v>
      </c>
      <c r="AI260" s="55">
        <f>Tabell2[[#This Row],[Sysselsettingsvekst10-I]]*Vekter!$H$3</f>
        <v>2.6115348076535554</v>
      </c>
      <c r="AJ260" s="55">
        <f>Tabell2[[#This Row],[Yrkesaktivandel-I]]*Vekter!$J$3</f>
        <v>9.7899407546494626</v>
      </c>
      <c r="AK260" s="55">
        <f>Tabell2[[#This Row],[Inntekt-I]]*Vekter!$L$3</f>
        <v>3.303923844903645</v>
      </c>
      <c r="AL260" s="56">
        <f>SUM(Tabell2[[#This Row],[NIBR11-v]:[Inntekt-v]])</f>
        <v>40.256259104072946</v>
      </c>
    </row>
    <row r="261" spans="1:38" x14ac:dyDescent="0.25">
      <c r="A261" s="2" t="s">
        <v>258</v>
      </c>
      <c r="B261">
        <f>'Rådata-K'!M260</f>
        <v>4</v>
      </c>
      <c r="C261" s="7">
        <f>'Rådata-K'!L260</f>
        <v>156.03333333333001</v>
      </c>
      <c r="D261" s="34">
        <f>'Rådata-K'!N260</f>
        <v>72.773396569789881</v>
      </c>
      <c r="E261" s="34">
        <f>'Rådata-K'!O260</f>
        <v>9.4014259658431465E-2</v>
      </c>
      <c r="F261" s="34">
        <f>'Rådata-K'!P260</f>
        <v>0.12397696271597454</v>
      </c>
      <c r="G261" s="34">
        <f>'Rådata-K'!Q260</f>
        <v>0.15038648075174296</v>
      </c>
      <c r="H261" s="34">
        <f>'Rådata-K'!R260</f>
        <v>0.20938137321549966</v>
      </c>
      <c r="I261" s="34">
        <f>'Rådata-K'!S260</f>
        <v>0.90637334196053054</v>
      </c>
      <c r="J261" s="22">
        <f>'Rådata-K'!K260</f>
        <v>411800</v>
      </c>
      <c r="K261" s="22">
        <f>Tabell2[[#This Row],[NIBR11]]</f>
        <v>4</v>
      </c>
      <c r="L261" s="32">
        <f>IF(Tabell2[[#This Row],[ReisetidOslo]]&lt;=C$434,C$434,IF(Tabell2[[#This Row],[ReisetidOslo]]&gt;=C$435,C$435,Tabell2[[#This Row],[ReisetidOslo]]))</f>
        <v>156.03333333333001</v>
      </c>
      <c r="M261" s="32">
        <f>IF(Tabell2[[#This Row],[Beftettotal]]&lt;=D$434,D$434,IF(Tabell2[[#This Row],[Beftettotal]]&gt;=D$435,D$435,Tabell2[[#This Row],[Beftettotal]]))</f>
        <v>72.773396569789881</v>
      </c>
      <c r="N261" s="34">
        <f>IF(Tabell2[[#This Row],[Befvekst10]]&lt;=E$434,E$434,IF(Tabell2[[#This Row],[Befvekst10]]&gt;=E$435,E$435,Tabell2[[#This Row],[Befvekst10]]))</f>
        <v>9.4014259658431465E-2</v>
      </c>
      <c r="O261" s="34">
        <f>IF(Tabell2[[#This Row],[Kvinneandel]]&lt;=F$434,F$434,IF(Tabell2[[#This Row],[Kvinneandel]]&gt;=F$435,F$435,Tabell2[[#This Row],[Kvinneandel]]))</f>
        <v>0.12397696271597454</v>
      </c>
      <c r="P261" s="34">
        <f>IF(Tabell2[[#This Row],[Eldreandel]]&lt;=G$434,G$434,IF(Tabell2[[#This Row],[Eldreandel]]&gt;=G$435,G$435,Tabell2[[#This Row],[Eldreandel]]))</f>
        <v>0.15038648075174296</v>
      </c>
      <c r="Q261" s="34">
        <f>IF(Tabell2[[#This Row],[Sysselsettingsvekst10]]&lt;=H$434,H$434,IF(Tabell2[[#This Row],[Sysselsettingsvekst10]]&gt;=H$435,H$435,Tabell2[[#This Row],[Sysselsettingsvekst10]]))</f>
        <v>0.20938137321549966</v>
      </c>
      <c r="R261" s="34">
        <f>IF(Tabell2[[#This Row],[Yrkesaktivandel]]&lt;=I$434,I$434,IF(Tabell2[[#This Row],[Yrkesaktivandel]]&gt;=I$435,I$435,Tabell2[[#This Row],[Yrkesaktivandel]]))</f>
        <v>0.90637334196053054</v>
      </c>
      <c r="S261" s="22">
        <f>IF(Tabell2[[#This Row],[Inntekt]]&lt;=J$434,J$434,IF(Tabell2[[#This Row],[Inntekt]]&gt;=J$435,J$435,Tabell2[[#This Row],[Inntekt]]))</f>
        <v>411800</v>
      </c>
      <c r="T261" s="22">
        <f>IF(Tabell2[[#This Row],[NIBR11-T]]&lt;=K$437,100,IF(Tabell2[[#This Row],[NIBR11-T]]&gt;=K$436,0,100*(K$436-Tabell2[[#This Row],[NIBR11-T]])/K$439))</f>
        <v>70</v>
      </c>
      <c r="U261" s="7">
        <f>IF(Tabell2[[#This Row],[ReisetidOslo-T]]&lt;=L$437,100,IF(Tabell2[[#This Row],[ReisetidOslo-T]]&gt;=L$436,0,100*(L$436-Tabell2[[#This Row],[ReisetidOslo-T]])/L$439))</f>
        <v>54.591590493607569</v>
      </c>
      <c r="V261" s="7">
        <f>100-(M$436-Tabell2[[#This Row],[Beftettotal-T]])*100/M$439</f>
        <v>55.266700263319251</v>
      </c>
      <c r="W261" s="7">
        <f>100-(N$436-Tabell2[[#This Row],[Befvekst10-T]])*100/N$439</f>
        <v>68.532935410428422</v>
      </c>
      <c r="X261" s="7">
        <f>100-(O$436-Tabell2[[#This Row],[Kvinneandel-T]])*100/O$439</f>
        <v>88.488157507832653</v>
      </c>
      <c r="Y261" s="7">
        <f>(P$436-Tabell2[[#This Row],[Eldreandel-T]])*100/P$439</f>
        <v>70.126422664198387</v>
      </c>
      <c r="Z261" s="7">
        <f>100-(Q$436-Tabell2[[#This Row],[Sysselsettingsvekst10-T]])*100/Q$439</f>
        <v>83.04808573638087</v>
      </c>
      <c r="AA261" s="7">
        <f>100-(R$436-Tabell2[[#This Row],[Yrkesaktivandel-T]])*100/R$439</f>
        <v>57.20386495219649</v>
      </c>
      <c r="AB261" s="7">
        <f>100-(S$436-Tabell2[[#This Row],[Inntekt-T]])*100/S$439</f>
        <v>93.057812862781518</v>
      </c>
      <c r="AC261" s="55">
        <f>Tabell2[[#This Row],[NIBR11-I]]*Vekter!$B$3</f>
        <v>14</v>
      </c>
      <c r="AD261" s="55">
        <f>Tabell2[[#This Row],[ReisetidOslo-I]]*Vekter!$C$3</f>
        <v>5.4591590493607569</v>
      </c>
      <c r="AE261" s="55">
        <f>Tabell2[[#This Row],[Beftettotal-I]]*Vekter!$D$3</f>
        <v>5.5266700263319253</v>
      </c>
      <c r="AF261" s="55">
        <f>Tabell2[[#This Row],[Befvekst10-I]]*Vekter!$E$3</f>
        <v>13.706587082085685</v>
      </c>
      <c r="AG261" s="55">
        <f>Tabell2[[#This Row],[Kvinneandel-I]]*Vekter!$F$3</f>
        <v>4.4244078753916325</v>
      </c>
      <c r="AH261" s="55">
        <f>Tabell2[[#This Row],[Eldreandel-I]]*Vekter!$G$3</f>
        <v>3.5063211332099193</v>
      </c>
      <c r="AI261" s="55">
        <f>Tabell2[[#This Row],[Sysselsettingsvekst10-I]]*Vekter!$H$3</f>
        <v>8.3048085736380877</v>
      </c>
      <c r="AJ261" s="55">
        <f>Tabell2[[#This Row],[Yrkesaktivandel-I]]*Vekter!$J$3</f>
        <v>5.7203864952196497</v>
      </c>
      <c r="AK261" s="55">
        <f>Tabell2[[#This Row],[Inntekt-I]]*Vekter!$L$3</f>
        <v>9.3057812862781528</v>
      </c>
      <c r="AL261" s="56">
        <f>SUM(Tabell2[[#This Row],[NIBR11-v]:[Inntekt-v]])</f>
        <v>69.954121521515802</v>
      </c>
    </row>
    <row r="262" spans="1:38" x14ac:dyDescent="0.25">
      <c r="A262" s="2" t="s">
        <v>259</v>
      </c>
      <c r="B262">
        <f>'Rådata-K'!M261</f>
        <v>4</v>
      </c>
      <c r="C262" s="7">
        <f>'Rådata-K'!L261</f>
        <v>169.5</v>
      </c>
      <c r="D262" s="34">
        <f>'Rådata-K'!N261</f>
        <v>469.64104644088417</v>
      </c>
      <c r="E262" s="34">
        <f>'Rådata-K'!O261</f>
        <v>0.14942300533564956</v>
      </c>
      <c r="F262" s="34">
        <f>'Rådata-K'!P261</f>
        <v>0.13265394248207962</v>
      </c>
      <c r="G262" s="34">
        <f>'Rådata-K'!Q261</f>
        <v>0.13349598410916313</v>
      </c>
      <c r="H262" s="34">
        <f>'Rådata-K'!R261</f>
        <v>0.21025706612098727</v>
      </c>
      <c r="I262" s="34">
        <f>'Rådata-K'!S261</f>
        <v>0.88933500627352569</v>
      </c>
      <c r="J262" s="22">
        <f>'Rådata-K'!K261</f>
        <v>415900</v>
      </c>
      <c r="K262" s="22">
        <f>Tabell2[[#This Row],[NIBR11]]</f>
        <v>4</v>
      </c>
      <c r="L262" s="32">
        <f>IF(Tabell2[[#This Row],[ReisetidOslo]]&lt;=C$434,C$434,IF(Tabell2[[#This Row],[ReisetidOslo]]&gt;=C$435,C$435,Tabell2[[#This Row],[ReisetidOslo]]))</f>
        <v>169.5</v>
      </c>
      <c r="M262" s="32">
        <f>IF(Tabell2[[#This Row],[Beftettotal]]&lt;=D$434,D$434,IF(Tabell2[[#This Row],[Beftettotal]]&gt;=D$435,D$435,Tabell2[[#This Row],[Beftettotal]]))</f>
        <v>130.60042534801397</v>
      </c>
      <c r="N262" s="34">
        <f>IF(Tabell2[[#This Row],[Befvekst10]]&lt;=E$434,E$434,IF(Tabell2[[#This Row],[Befvekst10]]&gt;=E$435,E$435,Tabell2[[#This Row],[Befvekst10]]))</f>
        <v>0.14942300533564956</v>
      </c>
      <c r="O262" s="34">
        <f>IF(Tabell2[[#This Row],[Kvinneandel]]&lt;=F$434,F$434,IF(Tabell2[[#This Row],[Kvinneandel]]&gt;=F$435,F$435,Tabell2[[#This Row],[Kvinneandel]]))</f>
        <v>0.12833341426573511</v>
      </c>
      <c r="P262" s="34">
        <f>IF(Tabell2[[#This Row],[Eldreandel]]&lt;=G$434,G$434,IF(Tabell2[[#This Row],[Eldreandel]]&gt;=G$435,G$435,Tabell2[[#This Row],[Eldreandel]]))</f>
        <v>0.13349598410916313</v>
      </c>
      <c r="Q262" s="34">
        <f>IF(Tabell2[[#This Row],[Sysselsettingsvekst10]]&lt;=H$434,H$434,IF(Tabell2[[#This Row],[Sysselsettingsvekst10]]&gt;=H$435,H$435,Tabell2[[#This Row],[Sysselsettingsvekst10]]))</f>
        <v>0.21025706612098727</v>
      </c>
      <c r="R262" s="34">
        <f>IF(Tabell2[[#This Row],[Yrkesaktivandel]]&lt;=I$434,I$434,IF(Tabell2[[#This Row],[Yrkesaktivandel]]&gt;=I$435,I$435,Tabell2[[#This Row],[Yrkesaktivandel]]))</f>
        <v>0.88933500627352569</v>
      </c>
      <c r="S262" s="22">
        <f>IF(Tabell2[[#This Row],[Inntekt]]&lt;=J$434,J$434,IF(Tabell2[[#This Row],[Inntekt]]&gt;=J$435,J$435,Tabell2[[#This Row],[Inntekt]]))</f>
        <v>415900</v>
      </c>
      <c r="T262" s="22">
        <f>IF(Tabell2[[#This Row],[NIBR11-T]]&lt;=K$437,100,IF(Tabell2[[#This Row],[NIBR11-T]]&gt;=K$436,0,100*(K$436-Tabell2[[#This Row],[NIBR11-T]])/K$439))</f>
        <v>70</v>
      </c>
      <c r="U262" s="7">
        <f>IF(Tabell2[[#This Row],[ReisetidOslo-T]]&lt;=L$437,100,IF(Tabell2[[#This Row],[ReisetidOslo-T]]&gt;=L$436,0,100*(L$436-Tabell2[[#This Row],[ReisetidOslo-T]])/L$439))</f>
        <v>48.682998171851693</v>
      </c>
      <c r="V262" s="7">
        <f>100-(M$436-Tabell2[[#This Row],[Beftettotal-T]])*100/M$439</f>
        <v>100</v>
      </c>
      <c r="W262" s="7">
        <f>100-(N$436-Tabell2[[#This Row],[Befvekst10-T]])*100/N$439</f>
        <v>90.842521843014453</v>
      </c>
      <c r="X262" s="7">
        <f>100-(O$436-Tabell2[[#This Row],[Kvinneandel-T]])*100/O$439</f>
        <v>100</v>
      </c>
      <c r="Y262" s="7">
        <f>(P$436-Tabell2[[#This Row],[Eldreandel-T]])*100/P$439</f>
        <v>88.634217100436899</v>
      </c>
      <c r="Z262" s="7">
        <f>100-(Q$436-Tabell2[[#This Row],[Sysselsettingsvekst10-T]])*100/Q$439</f>
        <v>83.308640195695872</v>
      </c>
      <c r="AA262" s="7">
        <f>100-(R$436-Tabell2[[#This Row],[Yrkesaktivandel-T]])*100/R$439</f>
        <v>44.103229230514295</v>
      </c>
      <c r="AB262" s="7">
        <f>100-(S$436-Tabell2[[#This Row],[Inntekt-T]])*100/S$439</f>
        <v>97.817506384954726</v>
      </c>
      <c r="AC262" s="55">
        <f>Tabell2[[#This Row],[NIBR11-I]]*Vekter!$B$3</f>
        <v>14</v>
      </c>
      <c r="AD262" s="55">
        <f>Tabell2[[#This Row],[ReisetidOslo-I]]*Vekter!$C$3</f>
        <v>4.8682998171851697</v>
      </c>
      <c r="AE262" s="55">
        <f>Tabell2[[#This Row],[Beftettotal-I]]*Vekter!$D$3</f>
        <v>10</v>
      </c>
      <c r="AF262" s="55">
        <f>Tabell2[[#This Row],[Befvekst10-I]]*Vekter!$E$3</f>
        <v>18.168504368602893</v>
      </c>
      <c r="AG262" s="55">
        <f>Tabell2[[#This Row],[Kvinneandel-I]]*Vekter!$F$3</f>
        <v>5</v>
      </c>
      <c r="AH262" s="55">
        <f>Tabell2[[#This Row],[Eldreandel-I]]*Vekter!$G$3</f>
        <v>4.4317108550218451</v>
      </c>
      <c r="AI262" s="55">
        <f>Tabell2[[#This Row],[Sysselsettingsvekst10-I]]*Vekter!$H$3</f>
        <v>8.3308640195695869</v>
      </c>
      <c r="AJ262" s="55">
        <f>Tabell2[[#This Row],[Yrkesaktivandel-I]]*Vekter!$J$3</f>
        <v>4.4103229230514298</v>
      </c>
      <c r="AK262" s="55">
        <f>Tabell2[[#This Row],[Inntekt-I]]*Vekter!$L$3</f>
        <v>9.781750638495474</v>
      </c>
      <c r="AL262" s="56">
        <f>SUM(Tabell2[[#This Row],[NIBR11-v]:[Inntekt-v]])</f>
        <v>78.991452621926385</v>
      </c>
    </row>
    <row r="263" spans="1:38" x14ac:dyDescent="0.25">
      <c r="A263" s="2" t="s">
        <v>260</v>
      </c>
      <c r="B263">
        <f>'Rådata-K'!M262</f>
        <v>5</v>
      </c>
      <c r="C263" s="7">
        <f>'Rådata-K'!L262</f>
        <v>163.16666666666998</v>
      </c>
      <c r="D263" s="34">
        <f>'Rådata-K'!N262</f>
        <v>280.4646372167544</v>
      </c>
      <c r="E263" s="34">
        <f>'Rådata-K'!O262</f>
        <v>9.7639629148564611E-2</v>
      </c>
      <c r="F263" s="34">
        <f>'Rådata-K'!P262</f>
        <v>0.12012894275105072</v>
      </c>
      <c r="G263" s="34">
        <f>'Rådata-K'!Q262</f>
        <v>0.14787611702778797</v>
      </c>
      <c r="H263" s="34">
        <f>'Rådata-K'!R262</f>
        <v>0.21604692781865187</v>
      </c>
      <c r="I263" s="34">
        <f>'Rådata-K'!S262</f>
        <v>0.84530539087274237</v>
      </c>
      <c r="J263" s="22">
        <f>'Rådata-K'!K262</f>
        <v>400900</v>
      </c>
      <c r="K263" s="22">
        <f>Tabell2[[#This Row],[NIBR11]]</f>
        <v>5</v>
      </c>
      <c r="L263" s="32">
        <f>IF(Tabell2[[#This Row],[ReisetidOslo]]&lt;=C$434,C$434,IF(Tabell2[[#This Row],[ReisetidOslo]]&gt;=C$435,C$435,Tabell2[[#This Row],[ReisetidOslo]]))</f>
        <v>163.16666666666998</v>
      </c>
      <c r="M263" s="32">
        <f>IF(Tabell2[[#This Row],[Beftettotal]]&lt;=D$434,D$434,IF(Tabell2[[#This Row],[Beftettotal]]&gt;=D$435,D$435,Tabell2[[#This Row],[Beftettotal]]))</f>
        <v>130.60042534801397</v>
      </c>
      <c r="N263" s="34">
        <f>IF(Tabell2[[#This Row],[Befvekst10]]&lt;=E$434,E$434,IF(Tabell2[[#This Row],[Befvekst10]]&gt;=E$435,E$435,Tabell2[[#This Row],[Befvekst10]]))</f>
        <v>9.7639629148564611E-2</v>
      </c>
      <c r="O263" s="34">
        <f>IF(Tabell2[[#This Row],[Kvinneandel]]&lt;=F$434,F$434,IF(Tabell2[[#This Row],[Kvinneandel]]&gt;=F$435,F$435,Tabell2[[#This Row],[Kvinneandel]]))</f>
        <v>0.12012894275105072</v>
      </c>
      <c r="P263" s="34">
        <f>IF(Tabell2[[#This Row],[Eldreandel]]&lt;=G$434,G$434,IF(Tabell2[[#This Row],[Eldreandel]]&gt;=G$435,G$435,Tabell2[[#This Row],[Eldreandel]]))</f>
        <v>0.14787611702778797</v>
      </c>
      <c r="Q263" s="34">
        <f>IF(Tabell2[[#This Row],[Sysselsettingsvekst10]]&lt;=H$434,H$434,IF(Tabell2[[#This Row],[Sysselsettingsvekst10]]&gt;=H$435,H$435,Tabell2[[#This Row],[Sysselsettingsvekst10]]))</f>
        <v>0.21604692781865187</v>
      </c>
      <c r="R263" s="34">
        <f>IF(Tabell2[[#This Row],[Yrkesaktivandel]]&lt;=I$434,I$434,IF(Tabell2[[#This Row],[Yrkesaktivandel]]&gt;=I$435,I$435,Tabell2[[#This Row],[Yrkesaktivandel]]))</f>
        <v>0.84530539087274237</v>
      </c>
      <c r="S263" s="22">
        <f>IF(Tabell2[[#This Row],[Inntekt]]&lt;=J$434,J$434,IF(Tabell2[[#This Row],[Inntekt]]&gt;=J$435,J$435,Tabell2[[#This Row],[Inntekt]]))</f>
        <v>400900</v>
      </c>
      <c r="T263" s="22">
        <f>IF(Tabell2[[#This Row],[NIBR11-T]]&lt;=K$437,100,IF(Tabell2[[#This Row],[NIBR11-T]]&gt;=K$436,0,100*(K$436-Tabell2[[#This Row],[NIBR11-T]])/K$439))</f>
        <v>60</v>
      </c>
      <c r="U263" s="7">
        <f>IF(Tabell2[[#This Row],[ReisetidOslo-T]]&lt;=L$437,100,IF(Tabell2[[#This Row],[ReisetidOslo-T]]&gt;=L$436,0,100*(L$436-Tabell2[[#This Row],[ReisetidOslo-T]])/L$439))</f>
        <v>51.461791590497114</v>
      </c>
      <c r="V263" s="7">
        <f>100-(M$436-Tabell2[[#This Row],[Beftettotal-T]])*100/M$439</f>
        <v>100</v>
      </c>
      <c r="W263" s="7">
        <f>100-(N$436-Tabell2[[#This Row],[Befvekst10-T]])*100/N$439</f>
        <v>69.992641689674528</v>
      </c>
      <c r="X263" s="7">
        <f>100-(O$436-Tabell2[[#This Row],[Kvinneandel-T]])*100/O$439</f>
        <v>78.319836057005801</v>
      </c>
      <c r="Y263" s="7">
        <f>(P$436-Tabell2[[#This Row],[Eldreandel-T]])*100/P$439</f>
        <v>72.877158580750617</v>
      </c>
      <c r="Z263" s="7">
        <f>100-(Q$436-Tabell2[[#This Row],[Sysselsettingsvekst10-T]])*100/Q$439</f>
        <v>85.031360883153852</v>
      </c>
      <c r="AA263" s="7">
        <f>100-(R$436-Tabell2[[#This Row],[Yrkesaktivandel-T]])*100/R$439</f>
        <v>10.249221249478438</v>
      </c>
      <c r="AB263" s="7">
        <f>100-(S$436-Tabell2[[#This Row],[Inntekt-T]])*100/S$439</f>
        <v>80.403993498955188</v>
      </c>
      <c r="AC263" s="55">
        <f>Tabell2[[#This Row],[NIBR11-I]]*Vekter!$B$3</f>
        <v>12</v>
      </c>
      <c r="AD263" s="55">
        <f>Tabell2[[#This Row],[ReisetidOslo-I]]*Vekter!$C$3</f>
        <v>5.1461791590497121</v>
      </c>
      <c r="AE263" s="55">
        <f>Tabell2[[#This Row],[Beftettotal-I]]*Vekter!$D$3</f>
        <v>10</v>
      </c>
      <c r="AF263" s="55">
        <f>Tabell2[[#This Row],[Befvekst10-I]]*Vekter!$E$3</f>
        <v>13.998528337934907</v>
      </c>
      <c r="AG263" s="55">
        <f>Tabell2[[#This Row],[Kvinneandel-I]]*Vekter!$F$3</f>
        <v>3.9159918028502902</v>
      </c>
      <c r="AH263" s="55">
        <f>Tabell2[[#This Row],[Eldreandel-I]]*Vekter!$G$3</f>
        <v>3.643857929037531</v>
      </c>
      <c r="AI263" s="55">
        <f>Tabell2[[#This Row],[Sysselsettingsvekst10-I]]*Vekter!$H$3</f>
        <v>8.5031360883153848</v>
      </c>
      <c r="AJ263" s="55">
        <f>Tabell2[[#This Row],[Yrkesaktivandel-I]]*Vekter!$J$3</f>
        <v>1.024922124947844</v>
      </c>
      <c r="AK263" s="55">
        <f>Tabell2[[#This Row],[Inntekt-I]]*Vekter!$L$3</f>
        <v>8.0403993498955195</v>
      </c>
      <c r="AL263" s="56">
        <f>SUM(Tabell2[[#This Row],[NIBR11-v]:[Inntekt-v]])</f>
        <v>66.273014792031191</v>
      </c>
    </row>
    <row r="264" spans="1:38" x14ac:dyDescent="0.25">
      <c r="A264" s="2" t="s">
        <v>261</v>
      </c>
      <c r="B264">
        <f>'Rådata-K'!M263</f>
        <v>11</v>
      </c>
      <c r="C264" s="7">
        <f>'Rådata-K'!L263</f>
        <v>221.65</v>
      </c>
      <c r="D264" s="34">
        <f>'Rådata-K'!N263</f>
        <v>8.4577243581423129</v>
      </c>
      <c r="E264" s="34">
        <f>'Rådata-K'!O263</f>
        <v>-0.11779041429731929</v>
      </c>
      <c r="F264" s="34">
        <f>'Rådata-K'!P263</f>
        <v>8.7170042971147943E-2</v>
      </c>
      <c r="G264" s="34">
        <f>'Rådata-K'!Q263</f>
        <v>0.21362799263351751</v>
      </c>
      <c r="H264" s="34">
        <f>'Rådata-K'!R263</f>
        <v>-1.7751479289940808E-2</v>
      </c>
      <c r="I264" s="34">
        <f>'Rådata-K'!S263</f>
        <v>0.93425605536332179</v>
      </c>
      <c r="J264" s="22">
        <f>'Rådata-K'!K263</f>
        <v>375000</v>
      </c>
      <c r="K264" s="22">
        <f>Tabell2[[#This Row],[NIBR11]]</f>
        <v>11</v>
      </c>
      <c r="L264" s="32">
        <f>IF(Tabell2[[#This Row],[ReisetidOslo]]&lt;=C$434,C$434,IF(Tabell2[[#This Row],[ReisetidOslo]]&gt;=C$435,C$435,Tabell2[[#This Row],[ReisetidOslo]]))</f>
        <v>221.65</v>
      </c>
      <c r="M264" s="32">
        <f>IF(Tabell2[[#This Row],[Beftettotal]]&lt;=D$434,D$434,IF(Tabell2[[#This Row],[Beftettotal]]&gt;=D$435,D$435,Tabell2[[#This Row],[Beftettotal]]))</f>
        <v>8.4577243581423129</v>
      </c>
      <c r="N264" s="34">
        <f>IF(Tabell2[[#This Row],[Befvekst10]]&lt;=E$434,E$434,IF(Tabell2[[#This Row],[Befvekst10]]&gt;=E$435,E$435,Tabell2[[#This Row],[Befvekst10]]))</f>
        <v>-7.6196156394963507E-2</v>
      </c>
      <c r="O264" s="34">
        <f>IF(Tabell2[[#This Row],[Kvinneandel]]&lt;=F$434,F$434,IF(Tabell2[[#This Row],[Kvinneandel]]&gt;=F$435,F$435,Tabell2[[#This Row],[Kvinneandel]]))</f>
        <v>9.0490197137593403E-2</v>
      </c>
      <c r="P264" s="34">
        <f>IF(Tabell2[[#This Row],[Eldreandel]]&lt;=G$434,G$434,IF(Tabell2[[#This Row],[Eldreandel]]&gt;=G$435,G$435,Tabell2[[#This Row],[Eldreandel]]))</f>
        <v>0.21362799263351751</v>
      </c>
      <c r="Q264" s="34">
        <f>IF(Tabell2[[#This Row],[Sysselsettingsvekst10]]&lt;=H$434,H$434,IF(Tabell2[[#This Row],[Sysselsettingsvekst10]]&gt;=H$435,H$435,Tabell2[[#This Row],[Sysselsettingsvekst10]]))</f>
        <v>-1.7751479289940808E-2</v>
      </c>
      <c r="R264" s="34">
        <f>IF(Tabell2[[#This Row],[Yrkesaktivandel]]&lt;=I$434,I$434,IF(Tabell2[[#This Row],[Yrkesaktivandel]]&gt;=I$435,I$435,Tabell2[[#This Row],[Yrkesaktivandel]]))</f>
        <v>0.93425605536332179</v>
      </c>
      <c r="S264" s="22">
        <f>IF(Tabell2[[#This Row],[Inntekt]]&lt;=J$434,J$434,IF(Tabell2[[#This Row],[Inntekt]]&gt;=J$435,J$435,Tabell2[[#This Row],[Inntekt]]))</f>
        <v>375000</v>
      </c>
      <c r="T264" s="22">
        <f>IF(Tabell2[[#This Row],[NIBR11-T]]&lt;=K$437,100,IF(Tabell2[[#This Row],[NIBR11-T]]&gt;=K$436,0,100*(K$436-Tabell2[[#This Row],[NIBR11-T]])/K$439))</f>
        <v>0</v>
      </c>
      <c r="U264" s="7">
        <f>IF(Tabell2[[#This Row],[ReisetidOslo-T]]&lt;=L$437,100,IF(Tabell2[[#This Row],[ReisetidOslo-T]]&gt;=L$436,0,100*(L$436-Tabell2[[#This Row],[ReisetidOslo-T]])/L$439))</f>
        <v>25.801828153572497</v>
      </c>
      <c r="V264" s="7">
        <f>100-(M$436-Tabell2[[#This Row],[Beftettotal-T]])*100/M$439</f>
        <v>5.5139755669891883</v>
      </c>
      <c r="W264" s="7">
        <f>100-(N$436-Tabell2[[#This Row],[Befvekst10-T]])*100/N$439</f>
        <v>0</v>
      </c>
      <c r="X264" s="7">
        <f>100-(O$436-Tabell2[[#This Row],[Kvinneandel-T]])*100/O$439</f>
        <v>0</v>
      </c>
      <c r="Y264" s="7">
        <f>(P$436-Tabell2[[#This Row],[Eldreandel-T]])*100/P$439</f>
        <v>0.82941343392131706</v>
      </c>
      <c r="Z264" s="7">
        <f>100-(Q$436-Tabell2[[#This Row],[Sysselsettingsvekst10-T]])*100/Q$439</f>
        <v>15.466771320823611</v>
      </c>
      <c r="AA264" s="7">
        <f>100-(R$436-Tabell2[[#This Row],[Yrkesaktivandel-T]])*100/R$439</f>
        <v>78.642653219564295</v>
      </c>
      <c r="AB264" s="7">
        <f>100-(S$436-Tabell2[[#This Row],[Inntekt-T]])*100/S$439</f>
        <v>50.336661249129321</v>
      </c>
      <c r="AC264" s="55">
        <f>Tabell2[[#This Row],[NIBR11-I]]*Vekter!$B$3</f>
        <v>0</v>
      </c>
      <c r="AD264" s="55">
        <f>Tabell2[[#This Row],[ReisetidOslo-I]]*Vekter!$C$3</f>
        <v>2.5801828153572499</v>
      </c>
      <c r="AE264" s="55">
        <f>Tabell2[[#This Row],[Beftettotal-I]]*Vekter!$D$3</f>
        <v>0.55139755669891888</v>
      </c>
      <c r="AF264" s="55">
        <f>Tabell2[[#This Row],[Befvekst10-I]]*Vekter!$E$3</f>
        <v>0</v>
      </c>
      <c r="AG264" s="55">
        <f>Tabell2[[#This Row],[Kvinneandel-I]]*Vekter!$F$3</f>
        <v>0</v>
      </c>
      <c r="AH264" s="55">
        <f>Tabell2[[#This Row],[Eldreandel-I]]*Vekter!$G$3</f>
        <v>4.1470671696065858E-2</v>
      </c>
      <c r="AI264" s="55">
        <f>Tabell2[[#This Row],[Sysselsettingsvekst10-I]]*Vekter!$H$3</f>
        <v>1.5466771320823611</v>
      </c>
      <c r="AJ264" s="55">
        <f>Tabell2[[#This Row],[Yrkesaktivandel-I]]*Vekter!$J$3</f>
        <v>7.86426532195643</v>
      </c>
      <c r="AK264" s="55">
        <f>Tabell2[[#This Row],[Inntekt-I]]*Vekter!$L$3</f>
        <v>5.0336661249129326</v>
      </c>
      <c r="AL264" s="56">
        <f>SUM(Tabell2[[#This Row],[NIBR11-v]:[Inntekt-v]])</f>
        <v>17.617659622703957</v>
      </c>
    </row>
    <row r="265" spans="1:38" x14ac:dyDescent="0.25">
      <c r="A265" s="2" t="s">
        <v>262</v>
      </c>
      <c r="B265">
        <f>'Rådata-K'!M264</f>
        <v>6</v>
      </c>
      <c r="C265" s="7">
        <f>'Rådata-K'!L264</f>
        <v>195.71666666670001</v>
      </c>
      <c r="D265" s="34">
        <f>'Rådata-K'!N264</f>
        <v>28.269498980796051</v>
      </c>
      <c r="E265" s="34">
        <f>'Rådata-K'!O264</f>
        <v>2.2903726708074501E-2</v>
      </c>
      <c r="F265" s="34">
        <f>'Rådata-K'!P264</f>
        <v>8.9184060721062622E-2</v>
      </c>
      <c r="G265" s="34">
        <f>'Rådata-K'!Q264</f>
        <v>0.1874762808349146</v>
      </c>
      <c r="H265" s="34">
        <f>'Rådata-K'!R264</f>
        <v>0.26702997275204354</v>
      </c>
      <c r="I265" s="34">
        <f>'Rådata-K'!S264</f>
        <v>0.93486842105263157</v>
      </c>
      <c r="J265" s="22">
        <f>'Rådata-K'!K264</f>
        <v>367900</v>
      </c>
      <c r="K265" s="22">
        <f>Tabell2[[#This Row],[NIBR11]]</f>
        <v>6</v>
      </c>
      <c r="L265" s="32">
        <f>IF(Tabell2[[#This Row],[ReisetidOslo]]&lt;=C$434,C$434,IF(Tabell2[[#This Row],[ReisetidOslo]]&gt;=C$435,C$435,Tabell2[[#This Row],[ReisetidOslo]]))</f>
        <v>195.71666666670001</v>
      </c>
      <c r="M265" s="32">
        <f>IF(Tabell2[[#This Row],[Beftettotal]]&lt;=D$434,D$434,IF(Tabell2[[#This Row],[Beftettotal]]&gt;=D$435,D$435,Tabell2[[#This Row],[Beftettotal]]))</f>
        <v>28.269498980796051</v>
      </c>
      <c r="N265" s="34">
        <f>IF(Tabell2[[#This Row],[Befvekst10]]&lt;=E$434,E$434,IF(Tabell2[[#This Row],[Befvekst10]]&gt;=E$435,E$435,Tabell2[[#This Row],[Befvekst10]]))</f>
        <v>2.2903726708074501E-2</v>
      </c>
      <c r="O265" s="34">
        <f>IF(Tabell2[[#This Row],[Kvinneandel]]&lt;=F$434,F$434,IF(Tabell2[[#This Row],[Kvinneandel]]&gt;=F$435,F$435,Tabell2[[#This Row],[Kvinneandel]]))</f>
        <v>9.0490197137593403E-2</v>
      </c>
      <c r="P265" s="34">
        <f>IF(Tabell2[[#This Row],[Eldreandel]]&lt;=G$434,G$434,IF(Tabell2[[#This Row],[Eldreandel]]&gt;=G$435,G$435,Tabell2[[#This Row],[Eldreandel]]))</f>
        <v>0.1874762808349146</v>
      </c>
      <c r="Q265" s="34">
        <f>IF(Tabell2[[#This Row],[Sysselsettingsvekst10]]&lt;=H$434,H$434,IF(Tabell2[[#This Row],[Sysselsettingsvekst10]]&gt;=H$435,H$435,Tabell2[[#This Row],[Sysselsettingsvekst10]]))</f>
        <v>0.26635476409167841</v>
      </c>
      <c r="R265" s="34">
        <f>IF(Tabell2[[#This Row],[Yrkesaktivandel]]&lt;=I$434,I$434,IF(Tabell2[[#This Row],[Yrkesaktivandel]]&gt;=I$435,I$435,Tabell2[[#This Row],[Yrkesaktivandel]]))</f>
        <v>0.93486842105263157</v>
      </c>
      <c r="S265" s="22">
        <f>IF(Tabell2[[#This Row],[Inntekt]]&lt;=J$434,J$434,IF(Tabell2[[#This Row],[Inntekt]]&gt;=J$435,J$435,Tabell2[[#This Row],[Inntekt]]))</f>
        <v>367900</v>
      </c>
      <c r="T265" s="22">
        <f>IF(Tabell2[[#This Row],[NIBR11-T]]&lt;=K$437,100,IF(Tabell2[[#This Row],[NIBR11-T]]&gt;=K$436,0,100*(K$436-Tabell2[[#This Row],[NIBR11-T]])/K$439))</f>
        <v>50</v>
      </c>
      <c r="U265" s="7">
        <f>IF(Tabell2[[#This Row],[ReisetidOslo-T]]&lt;=L$437,100,IF(Tabell2[[#This Row],[ReisetidOslo-T]]&gt;=L$436,0,100*(L$436-Tabell2[[#This Row],[ReisetidOslo-T]])/L$439))</f>
        <v>37.180255941490884</v>
      </c>
      <c r="V265" s="7">
        <f>100-(M$436-Tabell2[[#This Row],[Beftettotal-T]])*100/M$439</f>
        <v>20.839785508039938</v>
      </c>
      <c r="W265" s="7">
        <f>100-(N$436-Tabell2[[#This Row],[Befvekst10-T]])*100/N$439</f>
        <v>39.901235455243736</v>
      </c>
      <c r="X265" s="7">
        <f>100-(O$436-Tabell2[[#This Row],[Kvinneandel-T]])*100/O$439</f>
        <v>0</v>
      </c>
      <c r="Y265" s="7">
        <f>(P$436-Tabell2[[#This Row],[Eldreandel-T]])*100/P$439</f>
        <v>29.485202329088384</v>
      </c>
      <c r="Z265" s="7">
        <f>100-(Q$436-Tabell2[[#This Row],[Sysselsettingsvekst10-T]])*100/Q$439</f>
        <v>100</v>
      </c>
      <c r="AA265" s="7">
        <f>100-(R$436-Tabell2[[#This Row],[Yrkesaktivandel-T]])*100/R$439</f>
        <v>79.113496145274638</v>
      </c>
      <c r="AB265" s="7">
        <f>100-(S$436-Tabell2[[#This Row],[Inntekt-T]])*100/S$439</f>
        <v>42.094265149756211</v>
      </c>
      <c r="AC265" s="55">
        <f>Tabell2[[#This Row],[NIBR11-I]]*Vekter!$B$3</f>
        <v>10</v>
      </c>
      <c r="AD265" s="55">
        <f>Tabell2[[#This Row],[ReisetidOslo-I]]*Vekter!$C$3</f>
        <v>3.7180255941490885</v>
      </c>
      <c r="AE265" s="55">
        <f>Tabell2[[#This Row],[Beftettotal-I]]*Vekter!$D$3</f>
        <v>2.0839785508039941</v>
      </c>
      <c r="AF265" s="55">
        <f>Tabell2[[#This Row],[Befvekst10-I]]*Vekter!$E$3</f>
        <v>7.9802470910487475</v>
      </c>
      <c r="AG265" s="55">
        <f>Tabell2[[#This Row],[Kvinneandel-I]]*Vekter!$F$3</f>
        <v>0</v>
      </c>
      <c r="AH265" s="55">
        <f>Tabell2[[#This Row],[Eldreandel-I]]*Vekter!$G$3</f>
        <v>1.4742601164544193</v>
      </c>
      <c r="AI265" s="55">
        <f>Tabell2[[#This Row],[Sysselsettingsvekst10-I]]*Vekter!$H$3</f>
        <v>10</v>
      </c>
      <c r="AJ265" s="55">
        <f>Tabell2[[#This Row],[Yrkesaktivandel-I]]*Vekter!$J$3</f>
        <v>7.911349614527464</v>
      </c>
      <c r="AK265" s="55">
        <f>Tabell2[[#This Row],[Inntekt-I]]*Vekter!$L$3</f>
        <v>4.2094265149756209</v>
      </c>
      <c r="AL265" s="56">
        <f>SUM(Tabell2[[#This Row],[NIBR11-v]:[Inntekt-v]])</f>
        <v>47.377287481959335</v>
      </c>
    </row>
    <row r="266" spans="1:38" x14ac:dyDescent="0.25">
      <c r="A266" s="2" t="s">
        <v>263</v>
      </c>
      <c r="B266">
        <f>'Rådata-K'!M265</f>
        <v>6</v>
      </c>
      <c r="C266" s="7">
        <f>'Rådata-K'!L265</f>
        <v>196.48333333330001</v>
      </c>
      <c r="D266" s="34">
        <f>'Rådata-K'!N265</f>
        <v>74.748995983935743</v>
      </c>
      <c r="E266" s="34">
        <f>'Rådata-K'!O265</f>
        <v>6.5347006916289141E-2</v>
      </c>
      <c r="F266" s="34">
        <f>'Rådata-K'!P265</f>
        <v>0.11249160510409671</v>
      </c>
      <c r="G266" s="34">
        <f>'Rådata-K'!Q265</f>
        <v>0.15357062905753302</v>
      </c>
      <c r="H266" s="34">
        <f>'Rådata-K'!R265</f>
        <v>0.2029688838138739</v>
      </c>
      <c r="I266" s="34">
        <f>'Rådata-K'!S265</f>
        <v>0.8952343442300118</v>
      </c>
      <c r="J266" s="22">
        <f>'Rådata-K'!K265</f>
        <v>416100</v>
      </c>
      <c r="K266" s="22">
        <f>Tabell2[[#This Row],[NIBR11]]</f>
        <v>6</v>
      </c>
      <c r="L266" s="32">
        <f>IF(Tabell2[[#This Row],[ReisetidOslo]]&lt;=C$434,C$434,IF(Tabell2[[#This Row],[ReisetidOslo]]&gt;=C$435,C$435,Tabell2[[#This Row],[ReisetidOslo]]))</f>
        <v>196.48333333330001</v>
      </c>
      <c r="M266" s="32">
        <f>IF(Tabell2[[#This Row],[Beftettotal]]&lt;=D$434,D$434,IF(Tabell2[[#This Row],[Beftettotal]]&gt;=D$435,D$435,Tabell2[[#This Row],[Beftettotal]]))</f>
        <v>74.748995983935743</v>
      </c>
      <c r="N266" s="34">
        <f>IF(Tabell2[[#This Row],[Befvekst10]]&lt;=E$434,E$434,IF(Tabell2[[#This Row],[Befvekst10]]&gt;=E$435,E$435,Tabell2[[#This Row],[Befvekst10]]))</f>
        <v>6.5347006916289141E-2</v>
      </c>
      <c r="O266" s="34">
        <f>IF(Tabell2[[#This Row],[Kvinneandel]]&lt;=F$434,F$434,IF(Tabell2[[#This Row],[Kvinneandel]]&gt;=F$435,F$435,Tabell2[[#This Row],[Kvinneandel]]))</f>
        <v>0.11249160510409671</v>
      </c>
      <c r="P266" s="34">
        <f>IF(Tabell2[[#This Row],[Eldreandel]]&lt;=G$434,G$434,IF(Tabell2[[#This Row],[Eldreandel]]&gt;=G$435,G$435,Tabell2[[#This Row],[Eldreandel]]))</f>
        <v>0.15357062905753302</v>
      </c>
      <c r="Q266" s="34">
        <f>IF(Tabell2[[#This Row],[Sysselsettingsvekst10]]&lt;=H$434,H$434,IF(Tabell2[[#This Row],[Sysselsettingsvekst10]]&gt;=H$435,H$435,Tabell2[[#This Row],[Sysselsettingsvekst10]]))</f>
        <v>0.2029688838138739</v>
      </c>
      <c r="R266" s="34">
        <f>IF(Tabell2[[#This Row],[Yrkesaktivandel]]&lt;=I$434,I$434,IF(Tabell2[[#This Row],[Yrkesaktivandel]]&gt;=I$435,I$435,Tabell2[[#This Row],[Yrkesaktivandel]]))</f>
        <v>0.8952343442300118</v>
      </c>
      <c r="S266" s="22">
        <f>IF(Tabell2[[#This Row],[Inntekt]]&lt;=J$434,J$434,IF(Tabell2[[#This Row],[Inntekt]]&gt;=J$435,J$435,Tabell2[[#This Row],[Inntekt]]))</f>
        <v>416100</v>
      </c>
      <c r="T266" s="22">
        <f>IF(Tabell2[[#This Row],[NIBR11-T]]&lt;=K$437,100,IF(Tabell2[[#This Row],[NIBR11-T]]&gt;=K$436,0,100*(K$436-Tabell2[[#This Row],[NIBR11-T]])/K$439))</f>
        <v>50</v>
      </c>
      <c r="U266" s="7">
        <f>IF(Tabell2[[#This Row],[ReisetidOslo-T]]&lt;=L$437,100,IF(Tabell2[[#This Row],[ReisetidOslo-T]]&gt;=L$436,0,100*(L$436-Tabell2[[#This Row],[ReisetidOslo-T]])/L$439))</f>
        <v>36.843875685578674</v>
      </c>
      <c r="V266" s="7">
        <f>100-(M$436-Tabell2[[#This Row],[Beftettotal-T]])*100/M$439</f>
        <v>56.794966242391602</v>
      </c>
      <c r="W266" s="7">
        <f>100-(N$436-Tabell2[[#This Row],[Befvekst10-T]])*100/N$439</f>
        <v>56.990451547658502</v>
      </c>
      <c r="X266" s="7">
        <f>100-(O$436-Tabell2[[#This Row],[Kvinneandel-T]])*100/O$439</f>
        <v>58.138312850104377</v>
      </c>
      <c r="Y266" s="7">
        <f>(P$436-Tabell2[[#This Row],[Eldreandel-T]])*100/P$439</f>
        <v>66.637385986052593</v>
      </c>
      <c r="Z266" s="7">
        <f>100-(Q$436-Tabell2[[#This Row],[Sysselsettingsvekst10-T]])*100/Q$439</f>
        <v>81.140107838611456</v>
      </c>
      <c r="AA266" s="7">
        <f>100-(R$436-Tabell2[[#This Row],[Yrkesaktivandel-T]])*100/R$439</f>
        <v>48.639181508175014</v>
      </c>
      <c r="AB266" s="7">
        <f>100-(S$436-Tabell2[[#This Row],[Inntekt-T]])*100/S$439</f>
        <v>98.049686556768052</v>
      </c>
      <c r="AC266" s="55">
        <f>Tabell2[[#This Row],[NIBR11-I]]*Vekter!$B$3</f>
        <v>10</v>
      </c>
      <c r="AD266" s="55">
        <f>Tabell2[[#This Row],[ReisetidOslo-I]]*Vekter!$C$3</f>
        <v>3.6843875685578675</v>
      </c>
      <c r="AE266" s="55">
        <f>Tabell2[[#This Row],[Beftettotal-I]]*Vekter!$D$3</f>
        <v>5.6794966242391602</v>
      </c>
      <c r="AF266" s="55">
        <f>Tabell2[[#This Row],[Befvekst10-I]]*Vekter!$E$3</f>
        <v>11.398090309531701</v>
      </c>
      <c r="AG266" s="55">
        <f>Tabell2[[#This Row],[Kvinneandel-I]]*Vekter!$F$3</f>
        <v>2.9069156425052189</v>
      </c>
      <c r="AH266" s="55">
        <f>Tabell2[[#This Row],[Eldreandel-I]]*Vekter!$G$3</f>
        <v>3.33186929930263</v>
      </c>
      <c r="AI266" s="55">
        <f>Tabell2[[#This Row],[Sysselsettingsvekst10-I]]*Vekter!$H$3</f>
        <v>8.1140107838611453</v>
      </c>
      <c r="AJ266" s="55">
        <f>Tabell2[[#This Row],[Yrkesaktivandel-I]]*Vekter!$J$3</f>
        <v>4.8639181508175016</v>
      </c>
      <c r="AK266" s="55">
        <f>Tabell2[[#This Row],[Inntekt-I]]*Vekter!$L$3</f>
        <v>9.8049686556768059</v>
      </c>
      <c r="AL266" s="56">
        <f>SUM(Tabell2[[#This Row],[NIBR11-v]:[Inntekt-v]])</f>
        <v>59.783657034492037</v>
      </c>
    </row>
    <row r="267" spans="1:38" x14ac:dyDescent="0.25">
      <c r="A267" s="2" t="s">
        <v>264</v>
      </c>
      <c r="B267">
        <f>'Rådata-K'!M266</f>
        <v>5</v>
      </c>
      <c r="C267" s="7">
        <f>'Rådata-K'!L266</f>
        <v>184.05</v>
      </c>
      <c r="D267" s="34">
        <f>'Rådata-K'!N266</f>
        <v>85.326198806338766</v>
      </c>
      <c r="E267" s="34">
        <f>'Rådata-K'!O266</f>
        <v>0.22030905077262686</v>
      </c>
      <c r="F267" s="34">
        <f>'Rådata-K'!P266</f>
        <v>0.11420646406174625</v>
      </c>
      <c r="G267" s="34">
        <f>'Rådata-K'!Q266</f>
        <v>0.12095996140858659</v>
      </c>
      <c r="H267" s="34">
        <f>'Rådata-K'!R266</f>
        <v>0.56867196367763895</v>
      </c>
      <c r="I267" s="34">
        <f>'Rådata-K'!S266</f>
        <v>0.92120462046204621</v>
      </c>
      <c r="J267" s="22">
        <f>'Rådata-K'!K266</f>
        <v>432500</v>
      </c>
      <c r="K267" s="22">
        <f>Tabell2[[#This Row],[NIBR11]]</f>
        <v>5</v>
      </c>
      <c r="L267" s="32">
        <f>IF(Tabell2[[#This Row],[ReisetidOslo]]&lt;=C$434,C$434,IF(Tabell2[[#This Row],[ReisetidOslo]]&gt;=C$435,C$435,Tabell2[[#This Row],[ReisetidOslo]]))</f>
        <v>184.05</v>
      </c>
      <c r="M267" s="32">
        <f>IF(Tabell2[[#This Row],[Beftettotal]]&lt;=D$434,D$434,IF(Tabell2[[#This Row],[Beftettotal]]&gt;=D$435,D$435,Tabell2[[#This Row],[Beftettotal]]))</f>
        <v>85.326198806338766</v>
      </c>
      <c r="N267" s="34">
        <f>IF(Tabell2[[#This Row],[Befvekst10]]&lt;=E$434,E$434,IF(Tabell2[[#This Row],[Befvekst10]]&gt;=E$435,E$435,Tabell2[[#This Row],[Befvekst10]]))</f>
        <v>0.17216678769030419</v>
      </c>
      <c r="O267" s="34">
        <f>IF(Tabell2[[#This Row],[Kvinneandel]]&lt;=F$434,F$434,IF(Tabell2[[#This Row],[Kvinneandel]]&gt;=F$435,F$435,Tabell2[[#This Row],[Kvinneandel]]))</f>
        <v>0.11420646406174625</v>
      </c>
      <c r="P267" s="34">
        <f>IF(Tabell2[[#This Row],[Eldreandel]]&lt;=G$434,G$434,IF(Tabell2[[#This Row],[Eldreandel]]&gt;=G$435,G$435,Tabell2[[#This Row],[Eldreandel]]))</f>
        <v>0.12312339657223466</v>
      </c>
      <c r="Q267" s="34">
        <f>IF(Tabell2[[#This Row],[Sysselsettingsvekst10]]&lt;=H$434,H$434,IF(Tabell2[[#This Row],[Sysselsettingsvekst10]]&gt;=H$435,H$435,Tabell2[[#This Row],[Sysselsettingsvekst10]]))</f>
        <v>0.26635476409167841</v>
      </c>
      <c r="R267" s="34">
        <f>IF(Tabell2[[#This Row],[Yrkesaktivandel]]&lt;=I$434,I$434,IF(Tabell2[[#This Row],[Yrkesaktivandel]]&gt;=I$435,I$435,Tabell2[[#This Row],[Yrkesaktivandel]]))</f>
        <v>0.92120462046204621</v>
      </c>
      <c r="S267" s="22">
        <f>IF(Tabell2[[#This Row],[Inntekt]]&lt;=J$434,J$434,IF(Tabell2[[#This Row],[Inntekt]]&gt;=J$435,J$435,Tabell2[[#This Row],[Inntekt]]))</f>
        <v>417780</v>
      </c>
      <c r="T267" s="22">
        <f>IF(Tabell2[[#This Row],[NIBR11-T]]&lt;=K$437,100,IF(Tabell2[[#This Row],[NIBR11-T]]&gt;=K$436,0,100*(K$436-Tabell2[[#This Row],[NIBR11-T]])/K$439))</f>
        <v>60</v>
      </c>
      <c r="U267" s="7">
        <f>IF(Tabell2[[#This Row],[ReisetidOslo-T]]&lt;=L$437,100,IF(Tabell2[[#This Row],[ReisetidOslo-T]]&gt;=L$436,0,100*(L$436-Tabell2[[#This Row],[ReisetidOslo-T]])/L$439))</f>
        <v>42.299085923223451</v>
      </c>
      <c r="V267" s="7">
        <f>100-(M$436-Tabell2[[#This Row],[Beftettotal-T]])*100/M$439</f>
        <v>64.977181276209762</v>
      </c>
      <c r="W267" s="7">
        <f>100-(N$436-Tabell2[[#This Row],[Befvekst10-T]])*100/N$439</f>
        <v>100</v>
      </c>
      <c r="X267" s="7">
        <f>100-(O$436-Tabell2[[#This Row],[Kvinneandel-T]])*100/O$439</f>
        <v>62.669795868164982</v>
      </c>
      <c r="Y267" s="7">
        <f>(P$436-Tabell2[[#This Row],[Eldreandel-T]])*100/P$439</f>
        <v>100</v>
      </c>
      <c r="Z267" s="7">
        <f>100-(Q$436-Tabell2[[#This Row],[Sysselsettingsvekst10-T]])*100/Q$439</f>
        <v>100</v>
      </c>
      <c r="AA267" s="7">
        <f>100-(R$436-Tabell2[[#This Row],[Yrkesaktivandel-T]])*100/R$439</f>
        <v>68.607512614999933</v>
      </c>
      <c r="AB267" s="7">
        <f>100-(S$436-Tabell2[[#This Row],[Inntekt-T]])*100/S$439</f>
        <v>100</v>
      </c>
      <c r="AC267" s="55">
        <f>Tabell2[[#This Row],[NIBR11-I]]*Vekter!$B$3</f>
        <v>12</v>
      </c>
      <c r="AD267" s="55">
        <f>Tabell2[[#This Row],[ReisetidOslo-I]]*Vekter!$C$3</f>
        <v>4.229908592322345</v>
      </c>
      <c r="AE267" s="55">
        <f>Tabell2[[#This Row],[Beftettotal-I]]*Vekter!$D$3</f>
        <v>6.4977181276209768</v>
      </c>
      <c r="AF267" s="55">
        <f>Tabell2[[#This Row],[Befvekst10-I]]*Vekter!$E$3</f>
        <v>20</v>
      </c>
      <c r="AG267" s="55">
        <f>Tabell2[[#This Row],[Kvinneandel-I]]*Vekter!$F$3</f>
        <v>3.1334897934082493</v>
      </c>
      <c r="AH267" s="55">
        <f>Tabell2[[#This Row],[Eldreandel-I]]*Vekter!$G$3</f>
        <v>5</v>
      </c>
      <c r="AI267" s="55">
        <f>Tabell2[[#This Row],[Sysselsettingsvekst10-I]]*Vekter!$H$3</f>
        <v>10</v>
      </c>
      <c r="AJ267" s="55">
        <f>Tabell2[[#This Row],[Yrkesaktivandel-I]]*Vekter!$J$3</f>
        <v>6.8607512614999937</v>
      </c>
      <c r="AK267" s="55">
        <f>Tabell2[[#This Row],[Inntekt-I]]*Vekter!$L$3</f>
        <v>10</v>
      </c>
      <c r="AL267" s="56">
        <f>SUM(Tabell2[[#This Row],[NIBR11-v]:[Inntekt-v]])</f>
        <v>77.721867774851574</v>
      </c>
    </row>
    <row r="268" spans="1:38" x14ac:dyDescent="0.25">
      <c r="A268" s="2" t="s">
        <v>265</v>
      </c>
      <c r="B268">
        <f>'Rådata-K'!M267</f>
        <v>5</v>
      </c>
      <c r="C268" s="7">
        <f>'Rådata-K'!L267</f>
        <v>191.6833333333</v>
      </c>
      <c r="D268" s="34">
        <f>'Rådata-K'!N267</f>
        <v>61.580547112462007</v>
      </c>
      <c r="E268" s="34">
        <f>'Rådata-K'!O267</f>
        <v>8.7376556462000821E-2</v>
      </c>
      <c r="F268" s="34">
        <f>'Rådata-K'!P267</f>
        <v>0.12458045409674234</v>
      </c>
      <c r="G268" s="34">
        <f>'Rådata-K'!Q267</f>
        <v>0.14708785784797632</v>
      </c>
      <c r="H268" s="34">
        <f>'Rådata-K'!R267</f>
        <v>0.15898876404494389</v>
      </c>
      <c r="I268" s="34">
        <f>'Rådata-K'!S267</f>
        <v>0.9038329911019849</v>
      </c>
      <c r="J268" s="22">
        <f>'Rådata-K'!K267</f>
        <v>394500</v>
      </c>
      <c r="K268" s="22">
        <f>Tabell2[[#This Row],[NIBR11]]</f>
        <v>5</v>
      </c>
      <c r="L268" s="32">
        <f>IF(Tabell2[[#This Row],[ReisetidOslo]]&lt;=C$434,C$434,IF(Tabell2[[#This Row],[ReisetidOslo]]&gt;=C$435,C$435,Tabell2[[#This Row],[ReisetidOslo]]))</f>
        <v>191.6833333333</v>
      </c>
      <c r="M268" s="32">
        <f>IF(Tabell2[[#This Row],[Beftettotal]]&lt;=D$434,D$434,IF(Tabell2[[#This Row],[Beftettotal]]&gt;=D$435,D$435,Tabell2[[#This Row],[Beftettotal]]))</f>
        <v>61.580547112462007</v>
      </c>
      <c r="N268" s="34">
        <f>IF(Tabell2[[#This Row],[Befvekst10]]&lt;=E$434,E$434,IF(Tabell2[[#This Row],[Befvekst10]]&gt;=E$435,E$435,Tabell2[[#This Row],[Befvekst10]]))</f>
        <v>8.7376556462000821E-2</v>
      </c>
      <c r="O268" s="34">
        <f>IF(Tabell2[[#This Row],[Kvinneandel]]&lt;=F$434,F$434,IF(Tabell2[[#This Row],[Kvinneandel]]&gt;=F$435,F$435,Tabell2[[#This Row],[Kvinneandel]]))</f>
        <v>0.12458045409674234</v>
      </c>
      <c r="P268" s="34">
        <f>IF(Tabell2[[#This Row],[Eldreandel]]&lt;=G$434,G$434,IF(Tabell2[[#This Row],[Eldreandel]]&gt;=G$435,G$435,Tabell2[[#This Row],[Eldreandel]]))</f>
        <v>0.14708785784797632</v>
      </c>
      <c r="Q268" s="34">
        <f>IF(Tabell2[[#This Row],[Sysselsettingsvekst10]]&lt;=H$434,H$434,IF(Tabell2[[#This Row],[Sysselsettingsvekst10]]&gt;=H$435,H$435,Tabell2[[#This Row],[Sysselsettingsvekst10]]))</f>
        <v>0.15898876404494389</v>
      </c>
      <c r="R268" s="34">
        <f>IF(Tabell2[[#This Row],[Yrkesaktivandel]]&lt;=I$434,I$434,IF(Tabell2[[#This Row],[Yrkesaktivandel]]&gt;=I$435,I$435,Tabell2[[#This Row],[Yrkesaktivandel]]))</f>
        <v>0.9038329911019849</v>
      </c>
      <c r="S268" s="22">
        <f>IF(Tabell2[[#This Row],[Inntekt]]&lt;=J$434,J$434,IF(Tabell2[[#This Row],[Inntekt]]&gt;=J$435,J$435,Tabell2[[#This Row],[Inntekt]]))</f>
        <v>394500</v>
      </c>
      <c r="T268" s="22">
        <f>IF(Tabell2[[#This Row],[NIBR11-T]]&lt;=K$437,100,IF(Tabell2[[#This Row],[NIBR11-T]]&gt;=K$436,0,100*(K$436-Tabell2[[#This Row],[NIBR11-T]])/K$439))</f>
        <v>60</v>
      </c>
      <c r="U268" s="7">
        <f>IF(Tabell2[[#This Row],[ReisetidOslo-T]]&lt;=L$437,100,IF(Tabell2[[#This Row],[ReisetidOslo-T]]&gt;=L$436,0,100*(L$436-Tabell2[[#This Row],[ReisetidOslo-T]])/L$439))</f>
        <v>38.949908592342638</v>
      </c>
      <c r="V268" s="7">
        <f>100-(M$436-Tabell2[[#This Row],[Beftettotal-T]])*100/M$439</f>
        <v>46.6082389821348</v>
      </c>
      <c r="W268" s="7">
        <f>100-(N$436-Tabell2[[#This Row],[Befvekst10-T]])*100/N$439</f>
        <v>65.860353467547355</v>
      </c>
      <c r="X268" s="7">
        <f>100-(O$436-Tabell2[[#This Row],[Kvinneandel-T]])*100/O$439</f>
        <v>90.082872298396865</v>
      </c>
      <c r="Y268" s="7">
        <f>(P$436-Tabell2[[#This Row],[Eldreandel-T]])*100/P$439</f>
        <v>73.740895104971841</v>
      </c>
      <c r="Z268" s="7">
        <f>100-(Q$436-Tabell2[[#This Row],[Sysselsettingsvekst10-T]])*100/Q$439</f>
        <v>68.054223214912071</v>
      </c>
      <c r="AA268" s="7">
        <f>100-(R$436-Tabell2[[#This Row],[Yrkesaktivandel-T]])*100/R$439</f>
        <v>55.250610138203598</v>
      </c>
      <c r="AB268" s="7">
        <f>100-(S$436-Tabell2[[#This Row],[Inntekt-T]])*100/S$439</f>
        <v>72.974228000928719</v>
      </c>
      <c r="AC268" s="55">
        <f>Tabell2[[#This Row],[NIBR11-I]]*Vekter!$B$3</f>
        <v>12</v>
      </c>
      <c r="AD268" s="55">
        <f>Tabell2[[#This Row],[ReisetidOslo-I]]*Vekter!$C$3</f>
        <v>3.8949908592342641</v>
      </c>
      <c r="AE268" s="55">
        <f>Tabell2[[#This Row],[Beftettotal-I]]*Vekter!$D$3</f>
        <v>4.6608238982134802</v>
      </c>
      <c r="AF268" s="55">
        <f>Tabell2[[#This Row],[Befvekst10-I]]*Vekter!$E$3</f>
        <v>13.172070693509472</v>
      </c>
      <c r="AG268" s="55">
        <f>Tabell2[[#This Row],[Kvinneandel-I]]*Vekter!$F$3</f>
        <v>4.5041436149198431</v>
      </c>
      <c r="AH268" s="55">
        <f>Tabell2[[#This Row],[Eldreandel-I]]*Vekter!$G$3</f>
        <v>3.6870447552485923</v>
      </c>
      <c r="AI268" s="55">
        <f>Tabell2[[#This Row],[Sysselsettingsvekst10-I]]*Vekter!$H$3</f>
        <v>6.8054223214912071</v>
      </c>
      <c r="AJ268" s="55">
        <f>Tabell2[[#This Row],[Yrkesaktivandel-I]]*Vekter!$J$3</f>
        <v>5.52506101382036</v>
      </c>
      <c r="AK268" s="55">
        <f>Tabell2[[#This Row],[Inntekt-I]]*Vekter!$L$3</f>
        <v>7.297422800092872</v>
      </c>
      <c r="AL268" s="56">
        <f>SUM(Tabell2[[#This Row],[NIBR11-v]:[Inntekt-v]])</f>
        <v>61.546979956530095</v>
      </c>
    </row>
    <row r="269" spans="1:38" x14ac:dyDescent="0.25">
      <c r="A269" s="2" t="s">
        <v>266</v>
      </c>
      <c r="B269">
        <f>'Rådata-K'!M268</f>
        <v>6</v>
      </c>
      <c r="C269" s="7">
        <f>'Rådata-K'!L268</f>
        <v>166.73333333332999</v>
      </c>
      <c r="D269" s="34">
        <f>'Rådata-K'!N268</f>
        <v>16.404736668981396</v>
      </c>
      <c r="E269" s="34">
        <f>'Rådata-K'!O268</f>
        <v>7.496108250508926E-2</v>
      </c>
      <c r="F269" s="34">
        <f>'Rådata-K'!P268</f>
        <v>0.12220118079536593</v>
      </c>
      <c r="G269" s="34">
        <f>'Rådata-K'!Q268</f>
        <v>0.15662247967026846</v>
      </c>
      <c r="H269" s="34">
        <f>'Rådata-K'!R268</f>
        <v>0.12535835287985408</v>
      </c>
      <c r="I269" s="34">
        <f>'Rådata-K'!S268</f>
        <v>0.86097513217152932</v>
      </c>
      <c r="J269" s="22">
        <f>'Rådata-K'!K268</f>
        <v>366200</v>
      </c>
      <c r="K269" s="22">
        <f>Tabell2[[#This Row],[NIBR11]]</f>
        <v>6</v>
      </c>
      <c r="L269" s="32">
        <f>IF(Tabell2[[#This Row],[ReisetidOslo]]&lt;=C$434,C$434,IF(Tabell2[[#This Row],[ReisetidOslo]]&gt;=C$435,C$435,Tabell2[[#This Row],[ReisetidOslo]]))</f>
        <v>166.73333333332999</v>
      </c>
      <c r="M269" s="32">
        <f>IF(Tabell2[[#This Row],[Beftettotal]]&lt;=D$434,D$434,IF(Tabell2[[#This Row],[Beftettotal]]&gt;=D$435,D$435,Tabell2[[#This Row],[Beftettotal]]))</f>
        <v>16.404736668981396</v>
      </c>
      <c r="N269" s="34">
        <f>IF(Tabell2[[#This Row],[Befvekst10]]&lt;=E$434,E$434,IF(Tabell2[[#This Row],[Befvekst10]]&gt;=E$435,E$435,Tabell2[[#This Row],[Befvekst10]]))</f>
        <v>7.496108250508926E-2</v>
      </c>
      <c r="O269" s="34">
        <f>IF(Tabell2[[#This Row],[Kvinneandel]]&lt;=F$434,F$434,IF(Tabell2[[#This Row],[Kvinneandel]]&gt;=F$435,F$435,Tabell2[[#This Row],[Kvinneandel]]))</f>
        <v>0.12220118079536593</v>
      </c>
      <c r="P269" s="34">
        <f>IF(Tabell2[[#This Row],[Eldreandel]]&lt;=G$434,G$434,IF(Tabell2[[#This Row],[Eldreandel]]&gt;=G$435,G$435,Tabell2[[#This Row],[Eldreandel]]))</f>
        <v>0.15662247967026846</v>
      </c>
      <c r="Q269" s="34">
        <f>IF(Tabell2[[#This Row],[Sysselsettingsvekst10]]&lt;=H$434,H$434,IF(Tabell2[[#This Row],[Sysselsettingsvekst10]]&gt;=H$435,H$435,Tabell2[[#This Row],[Sysselsettingsvekst10]]))</f>
        <v>0.12535835287985408</v>
      </c>
      <c r="R269" s="34">
        <f>IF(Tabell2[[#This Row],[Yrkesaktivandel]]&lt;=I$434,I$434,IF(Tabell2[[#This Row],[Yrkesaktivandel]]&gt;=I$435,I$435,Tabell2[[#This Row],[Yrkesaktivandel]]))</f>
        <v>0.86097513217152932</v>
      </c>
      <c r="S269" s="22">
        <f>IF(Tabell2[[#This Row],[Inntekt]]&lt;=J$434,J$434,IF(Tabell2[[#This Row],[Inntekt]]&gt;=J$435,J$435,Tabell2[[#This Row],[Inntekt]]))</f>
        <v>366200</v>
      </c>
      <c r="T269" s="22">
        <f>IF(Tabell2[[#This Row],[NIBR11-T]]&lt;=K$437,100,IF(Tabell2[[#This Row],[NIBR11-T]]&gt;=K$436,0,100*(K$436-Tabell2[[#This Row],[NIBR11-T]])/K$439))</f>
        <v>50</v>
      </c>
      <c r="U269" s="7">
        <f>IF(Tabell2[[#This Row],[ReisetidOslo-T]]&lt;=L$437,100,IF(Tabell2[[#This Row],[ReisetidOslo-T]]&gt;=L$436,0,100*(L$436-Tabell2[[#This Row],[ReisetidOslo-T]])/L$439))</f>
        <v>49.896892138946271</v>
      </c>
      <c r="V269" s="7">
        <f>100-(M$436-Tabell2[[#This Row],[Beftettotal-T]])*100/M$439</f>
        <v>11.661552076154848</v>
      </c>
      <c r="W269" s="7">
        <f>100-(N$436-Tabell2[[#This Row],[Befvekst10-T]])*100/N$439</f>
        <v>60.861429814649661</v>
      </c>
      <c r="X269" s="7">
        <f>100-(O$436-Tabell2[[#This Row],[Kvinneandel-T]])*100/O$439</f>
        <v>83.795686689097565</v>
      </c>
      <c r="Y269" s="7">
        <f>(P$436-Tabell2[[#This Row],[Eldreandel-T]])*100/P$439</f>
        <v>63.293314761514054</v>
      </c>
      <c r="Z269" s="7">
        <f>100-(Q$436-Tabell2[[#This Row],[Sysselsettingsvekst10-T]])*100/Q$439</f>
        <v>58.047800252307127</v>
      </c>
      <c r="AA269" s="7">
        <f>100-(R$436-Tabell2[[#This Row],[Yrkesaktivandel-T]])*100/R$439</f>
        <v>22.297556038713566</v>
      </c>
      <c r="AB269" s="7">
        <f>100-(S$436-Tabell2[[#This Row],[Inntekt-T]])*100/S$439</f>
        <v>40.120733689342927</v>
      </c>
      <c r="AC269" s="55">
        <f>Tabell2[[#This Row],[NIBR11-I]]*Vekter!$B$3</f>
        <v>10</v>
      </c>
      <c r="AD269" s="55">
        <f>Tabell2[[#This Row],[ReisetidOslo-I]]*Vekter!$C$3</f>
        <v>4.9896892138946276</v>
      </c>
      <c r="AE269" s="55">
        <f>Tabell2[[#This Row],[Beftettotal-I]]*Vekter!$D$3</f>
        <v>1.1661552076154849</v>
      </c>
      <c r="AF269" s="55">
        <f>Tabell2[[#This Row],[Befvekst10-I]]*Vekter!$E$3</f>
        <v>12.172285962929934</v>
      </c>
      <c r="AG269" s="55">
        <f>Tabell2[[#This Row],[Kvinneandel-I]]*Vekter!$F$3</f>
        <v>4.1897843344548784</v>
      </c>
      <c r="AH269" s="55">
        <f>Tabell2[[#This Row],[Eldreandel-I]]*Vekter!$G$3</f>
        <v>3.1646657380757031</v>
      </c>
      <c r="AI269" s="55">
        <f>Tabell2[[#This Row],[Sysselsettingsvekst10-I]]*Vekter!$H$3</f>
        <v>5.8047800252307127</v>
      </c>
      <c r="AJ269" s="55">
        <f>Tabell2[[#This Row],[Yrkesaktivandel-I]]*Vekter!$J$3</f>
        <v>2.2297556038713569</v>
      </c>
      <c r="AK269" s="55">
        <f>Tabell2[[#This Row],[Inntekt-I]]*Vekter!$L$3</f>
        <v>4.0120733689342929</v>
      </c>
      <c r="AL269" s="56">
        <f>SUM(Tabell2[[#This Row],[NIBR11-v]:[Inntekt-v]])</f>
        <v>47.729189455006996</v>
      </c>
    </row>
    <row r="270" spans="1:38" x14ac:dyDescent="0.25">
      <c r="A270" s="2" t="s">
        <v>267</v>
      </c>
      <c r="B270">
        <f>'Rådata-K'!M269</f>
        <v>6</v>
      </c>
      <c r="C270" s="7">
        <f>'Rådata-K'!L269</f>
        <v>164.25</v>
      </c>
      <c r="D270" s="34">
        <f>'Rådata-K'!N269</f>
        <v>13.163357905597753</v>
      </c>
      <c r="E270" s="34">
        <f>'Rådata-K'!O269</f>
        <v>3.4789406821069013E-2</v>
      </c>
      <c r="F270" s="34">
        <f>'Rådata-K'!P269</f>
        <v>0.11304183586740958</v>
      </c>
      <c r="G270" s="34">
        <f>'Rådata-K'!Q269</f>
        <v>0.16366040230427803</v>
      </c>
      <c r="H270" s="34">
        <f>'Rådata-K'!R269</f>
        <v>0.14613728773020807</v>
      </c>
      <c r="I270" s="34">
        <f>'Rådata-K'!S269</f>
        <v>0.91127946127946124</v>
      </c>
      <c r="J270" s="22">
        <f>'Rådata-K'!K269</f>
        <v>379400</v>
      </c>
      <c r="K270" s="22">
        <f>Tabell2[[#This Row],[NIBR11]]</f>
        <v>6</v>
      </c>
      <c r="L270" s="32">
        <f>IF(Tabell2[[#This Row],[ReisetidOslo]]&lt;=C$434,C$434,IF(Tabell2[[#This Row],[ReisetidOslo]]&gt;=C$435,C$435,Tabell2[[#This Row],[ReisetidOslo]]))</f>
        <v>164.25</v>
      </c>
      <c r="M270" s="32">
        <f>IF(Tabell2[[#This Row],[Beftettotal]]&lt;=D$434,D$434,IF(Tabell2[[#This Row],[Beftettotal]]&gt;=D$435,D$435,Tabell2[[#This Row],[Beftettotal]]))</f>
        <v>13.163357905597753</v>
      </c>
      <c r="N270" s="34">
        <f>IF(Tabell2[[#This Row],[Befvekst10]]&lt;=E$434,E$434,IF(Tabell2[[#This Row],[Befvekst10]]&gt;=E$435,E$435,Tabell2[[#This Row],[Befvekst10]]))</f>
        <v>3.4789406821069013E-2</v>
      </c>
      <c r="O270" s="34">
        <f>IF(Tabell2[[#This Row],[Kvinneandel]]&lt;=F$434,F$434,IF(Tabell2[[#This Row],[Kvinneandel]]&gt;=F$435,F$435,Tabell2[[#This Row],[Kvinneandel]]))</f>
        <v>0.11304183586740958</v>
      </c>
      <c r="P270" s="34">
        <f>IF(Tabell2[[#This Row],[Eldreandel]]&lt;=G$434,G$434,IF(Tabell2[[#This Row],[Eldreandel]]&gt;=G$435,G$435,Tabell2[[#This Row],[Eldreandel]]))</f>
        <v>0.16366040230427803</v>
      </c>
      <c r="Q270" s="34">
        <f>IF(Tabell2[[#This Row],[Sysselsettingsvekst10]]&lt;=H$434,H$434,IF(Tabell2[[#This Row],[Sysselsettingsvekst10]]&gt;=H$435,H$435,Tabell2[[#This Row],[Sysselsettingsvekst10]]))</f>
        <v>0.14613728773020807</v>
      </c>
      <c r="R270" s="34">
        <f>IF(Tabell2[[#This Row],[Yrkesaktivandel]]&lt;=I$434,I$434,IF(Tabell2[[#This Row],[Yrkesaktivandel]]&gt;=I$435,I$435,Tabell2[[#This Row],[Yrkesaktivandel]]))</f>
        <v>0.91127946127946124</v>
      </c>
      <c r="S270" s="22">
        <f>IF(Tabell2[[#This Row],[Inntekt]]&lt;=J$434,J$434,IF(Tabell2[[#This Row],[Inntekt]]&gt;=J$435,J$435,Tabell2[[#This Row],[Inntekt]]))</f>
        <v>379400</v>
      </c>
      <c r="T270" s="22">
        <f>IF(Tabell2[[#This Row],[NIBR11-T]]&lt;=K$437,100,IF(Tabell2[[#This Row],[NIBR11-T]]&gt;=K$436,0,100*(K$436-Tabell2[[#This Row],[NIBR11-T]])/K$439))</f>
        <v>50</v>
      </c>
      <c r="U270" s="7">
        <f>IF(Tabell2[[#This Row],[ReisetidOslo-T]]&lt;=L$437,100,IF(Tabell2[[#This Row],[ReisetidOslo-T]]&gt;=L$436,0,100*(L$436-Tabell2[[#This Row],[ReisetidOslo-T]])/L$439))</f>
        <v>50.986471663624762</v>
      </c>
      <c r="V270" s="7">
        <f>100-(M$436-Tabell2[[#This Row],[Beftettotal-T]])*100/M$439</f>
        <v>9.1541161790306518</v>
      </c>
      <c r="W270" s="7">
        <f>100-(N$436-Tabell2[[#This Row],[Befvekst10-T]])*100/N$439</f>
        <v>44.686844740384899</v>
      </c>
      <c r="X270" s="7">
        <f>100-(O$436-Tabell2[[#This Row],[Kvinneandel-T]])*100/O$439</f>
        <v>59.592287446000185</v>
      </c>
      <c r="Y270" s="7">
        <f>(P$436-Tabell2[[#This Row],[Eldreandel-T]])*100/P$439</f>
        <v>55.581497393158436</v>
      </c>
      <c r="Z270" s="7">
        <f>100-(Q$436-Tabell2[[#This Row],[Sysselsettingsvekst10-T]])*100/Q$439</f>
        <v>64.230383325834623</v>
      </c>
      <c r="AA270" s="7">
        <f>100-(R$436-Tabell2[[#This Row],[Yrkesaktivandel-T]])*100/R$439</f>
        <v>60.97613961476462</v>
      </c>
      <c r="AB270" s="7">
        <f>100-(S$436-Tabell2[[#This Row],[Inntekt-T]])*100/S$439</f>
        <v>55.444625029022518</v>
      </c>
      <c r="AC270" s="55">
        <f>Tabell2[[#This Row],[NIBR11-I]]*Vekter!$B$3</f>
        <v>10</v>
      </c>
      <c r="AD270" s="55">
        <f>Tabell2[[#This Row],[ReisetidOslo-I]]*Vekter!$C$3</f>
        <v>5.0986471663624764</v>
      </c>
      <c r="AE270" s="55">
        <f>Tabell2[[#This Row],[Beftettotal-I]]*Vekter!$D$3</f>
        <v>0.91541161790306524</v>
      </c>
      <c r="AF270" s="55">
        <f>Tabell2[[#This Row],[Befvekst10-I]]*Vekter!$E$3</f>
        <v>8.9373689480769798</v>
      </c>
      <c r="AG270" s="55">
        <f>Tabell2[[#This Row],[Kvinneandel-I]]*Vekter!$F$3</f>
        <v>2.9796143723000093</v>
      </c>
      <c r="AH270" s="55">
        <f>Tabell2[[#This Row],[Eldreandel-I]]*Vekter!$G$3</f>
        <v>2.7790748696579222</v>
      </c>
      <c r="AI270" s="55">
        <f>Tabell2[[#This Row],[Sysselsettingsvekst10-I]]*Vekter!$H$3</f>
        <v>6.423038332583463</v>
      </c>
      <c r="AJ270" s="55">
        <f>Tabell2[[#This Row],[Yrkesaktivandel-I]]*Vekter!$J$3</f>
        <v>6.097613961476462</v>
      </c>
      <c r="AK270" s="55">
        <f>Tabell2[[#This Row],[Inntekt-I]]*Vekter!$L$3</f>
        <v>5.5444625029022525</v>
      </c>
      <c r="AL270" s="56">
        <f>SUM(Tabell2[[#This Row],[NIBR11-v]:[Inntekt-v]])</f>
        <v>48.775231771262625</v>
      </c>
    </row>
    <row r="271" spans="1:38" x14ac:dyDescent="0.25">
      <c r="A271" s="2" t="s">
        <v>268</v>
      </c>
      <c r="B271">
        <f>'Rådata-K'!M270</f>
        <v>4</v>
      </c>
      <c r="C271" s="7">
        <f>'Rådata-K'!L270</f>
        <v>198.5833333333</v>
      </c>
      <c r="D271" s="34">
        <f>'Rådata-K'!N270</f>
        <v>17.331520096705955</v>
      </c>
      <c r="E271" s="34">
        <f>'Rådata-K'!O270</f>
        <v>8.1565299387081458E-2</v>
      </c>
      <c r="F271" s="34">
        <f>'Rådata-K'!P270</f>
        <v>0.11857018308631212</v>
      </c>
      <c r="G271" s="34">
        <f>'Rådata-K'!Q270</f>
        <v>0.16085440278988666</v>
      </c>
      <c r="H271" s="34">
        <f>'Rådata-K'!R270</f>
        <v>0.23700887198986065</v>
      </c>
      <c r="I271" s="34">
        <f>'Rådata-K'!S270</f>
        <v>0.93697156033820139</v>
      </c>
      <c r="J271" s="22">
        <f>'Rådata-K'!K270</f>
        <v>375400</v>
      </c>
      <c r="K271" s="22">
        <f>Tabell2[[#This Row],[NIBR11]]</f>
        <v>4</v>
      </c>
      <c r="L271" s="32">
        <f>IF(Tabell2[[#This Row],[ReisetidOslo]]&lt;=C$434,C$434,IF(Tabell2[[#This Row],[ReisetidOslo]]&gt;=C$435,C$435,Tabell2[[#This Row],[ReisetidOslo]]))</f>
        <v>198.5833333333</v>
      </c>
      <c r="M271" s="32">
        <f>IF(Tabell2[[#This Row],[Beftettotal]]&lt;=D$434,D$434,IF(Tabell2[[#This Row],[Beftettotal]]&gt;=D$435,D$435,Tabell2[[#This Row],[Beftettotal]]))</f>
        <v>17.331520096705955</v>
      </c>
      <c r="N271" s="34">
        <f>IF(Tabell2[[#This Row],[Befvekst10]]&lt;=E$434,E$434,IF(Tabell2[[#This Row],[Befvekst10]]&gt;=E$435,E$435,Tabell2[[#This Row],[Befvekst10]]))</f>
        <v>8.1565299387081458E-2</v>
      </c>
      <c r="O271" s="34">
        <f>IF(Tabell2[[#This Row],[Kvinneandel]]&lt;=F$434,F$434,IF(Tabell2[[#This Row],[Kvinneandel]]&gt;=F$435,F$435,Tabell2[[#This Row],[Kvinneandel]]))</f>
        <v>0.11857018308631212</v>
      </c>
      <c r="P271" s="34">
        <f>IF(Tabell2[[#This Row],[Eldreandel]]&lt;=G$434,G$434,IF(Tabell2[[#This Row],[Eldreandel]]&gt;=G$435,G$435,Tabell2[[#This Row],[Eldreandel]]))</f>
        <v>0.16085440278988666</v>
      </c>
      <c r="Q271" s="34">
        <f>IF(Tabell2[[#This Row],[Sysselsettingsvekst10]]&lt;=H$434,H$434,IF(Tabell2[[#This Row],[Sysselsettingsvekst10]]&gt;=H$435,H$435,Tabell2[[#This Row],[Sysselsettingsvekst10]]))</f>
        <v>0.23700887198986065</v>
      </c>
      <c r="R271" s="34">
        <f>IF(Tabell2[[#This Row],[Yrkesaktivandel]]&lt;=I$434,I$434,IF(Tabell2[[#This Row],[Yrkesaktivandel]]&gt;=I$435,I$435,Tabell2[[#This Row],[Yrkesaktivandel]]))</f>
        <v>0.93697156033820139</v>
      </c>
      <c r="S271" s="22">
        <f>IF(Tabell2[[#This Row],[Inntekt]]&lt;=J$434,J$434,IF(Tabell2[[#This Row],[Inntekt]]&gt;=J$435,J$435,Tabell2[[#This Row],[Inntekt]]))</f>
        <v>375400</v>
      </c>
      <c r="T271" s="22">
        <f>IF(Tabell2[[#This Row],[NIBR11-T]]&lt;=K$437,100,IF(Tabell2[[#This Row],[NIBR11-T]]&gt;=K$436,0,100*(K$436-Tabell2[[#This Row],[NIBR11-T]])/K$439))</f>
        <v>70</v>
      </c>
      <c r="U271" s="7">
        <f>IF(Tabell2[[#This Row],[ReisetidOslo-T]]&lt;=L$437,100,IF(Tabell2[[#This Row],[ReisetidOslo-T]]&gt;=L$436,0,100*(L$436-Tabell2[[#This Row],[ReisetidOslo-T]])/L$439))</f>
        <v>35.92248628886945</v>
      </c>
      <c r="V271" s="7">
        <f>100-(M$436-Tabell2[[#This Row],[Beftettotal-T]])*100/M$439</f>
        <v>12.378484654904298</v>
      </c>
      <c r="W271" s="7">
        <f>100-(N$436-Tabell2[[#This Row],[Befvekst10-T]])*100/N$439</f>
        <v>63.520528943272019</v>
      </c>
      <c r="X271" s="7">
        <f>100-(O$436-Tabell2[[#This Row],[Kvinneandel-T]])*100/O$439</f>
        <v>74.20084252783397</v>
      </c>
      <c r="Y271" s="7">
        <f>(P$436-Tabell2[[#This Row],[Eldreandel-T]])*100/P$439</f>
        <v>58.656176800134617</v>
      </c>
      <c r="Z271" s="7">
        <f>100-(Q$436-Tabell2[[#This Row],[Sysselsettingsvekst10-T]])*100/Q$439</f>
        <v>91.26839671557218</v>
      </c>
      <c r="AA271" s="7">
        <f>100-(R$436-Tabell2[[#This Row],[Yrkesaktivandel-T]])*100/R$439</f>
        <v>80.730582588360946</v>
      </c>
      <c r="AB271" s="7">
        <f>100-(S$436-Tabell2[[#This Row],[Inntekt-T]])*100/S$439</f>
        <v>50.80102159275598</v>
      </c>
      <c r="AC271" s="55">
        <f>Tabell2[[#This Row],[NIBR11-I]]*Vekter!$B$3</f>
        <v>14</v>
      </c>
      <c r="AD271" s="55">
        <f>Tabell2[[#This Row],[ReisetidOslo-I]]*Vekter!$C$3</f>
        <v>3.5922486288869453</v>
      </c>
      <c r="AE271" s="55">
        <f>Tabell2[[#This Row],[Beftettotal-I]]*Vekter!$D$3</f>
        <v>1.2378484654904298</v>
      </c>
      <c r="AF271" s="55">
        <f>Tabell2[[#This Row],[Befvekst10-I]]*Vekter!$E$3</f>
        <v>12.704105788654404</v>
      </c>
      <c r="AG271" s="55">
        <f>Tabell2[[#This Row],[Kvinneandel-I]]*Vekter!$F$3</f>
        <v>3.7100421263916985</v>
      </c>
      <c r="AH271" s="55">
        <f>Tabell2[[#This Row],[Eldreandel-I]]*Vekter!$G$3</f>
        <v>2.9328088400067309</v>
      </c>
      <c r="AI271" s="55">
        <f>Tabell2[[#This Row],[Sysselsettingsvekst10-I]]*Vekter!$H$3</f>
        <v>9.1268396715572191</v>
      </c>
      <c r="AJ271" s="55">
        <f>Tabell2[[#This Row],[Yrkesaktivandel-I]]*Vekter!$J$3</f>
        <v>8.0730582588360953</v>
      </c>
      <c r="AK271" s="55">
        <f>Tabell2[[#This Row],[Inntekt-I]]*Vekter!$L$3</f>
        <v>5.0801021592755982</v>
      </c>
      <c r="AL271" s="56">
        <f>SUM(Tabell2[[#This Row],[NIBR11-v]:[Inntekt-v]])</f>
        <v>60.457053939099126</v>
      </c>
    </row>
    <row r="272" spans="1:38" x14ac:dyDescent="0.25">
      <c r="A272" s="2" t="s">
        <v>269</v>
      </c>
      <c r="B272">
        <f>'Rådata-K'!M271</f>
        <v>9</v>
      </c>
      <c r="C272" s="7">
        <f>'Rådata-K'!L271</f>
        <v>235.96666666670001</v>
      </c>
      <c r="D272" s="34">
        <f>'Rådata-K'!N271</f>
        <v>1.7763269459046973</v>
      </c>
      <c r="E272" s="34">
        <f>'Rådata-K'!O271</f>
        <v>-7.7600440286186068E-2</v>
      </c>
      <c r="F272" s="34">
        <f>'Rådata-K'!P271</f>
        <v>8.7708830548926017E-2</v>
      </c>
      <c r="G272" s="34">
        <f>'Rådata-K'!Q271</f>
        <v>0.20167064439140811</v>
      </c>
      <c r="H272" s="34">
        <f>'Rådata-K'!R271</f>
        <v>-2.8473804100227817E-2</v>
      </c>
      <c r="I272" s="34">
        <f>'Rådata-K'!S271</f>
        <v>1.002290950744559</v>
      </c>
      <c r="J272" s="22">
        <f>'Rådata-K'!K271</f>
        <v>357700</v>
      </c>
      <c r="K272" s="22">
        <f>Tabell2[[#This Row],[NIBR11]]</f>
        <v>9</v>
      </c>
      <c r="L272" s="32">
        <f>IF(Tabell2[[#This Row],[ReisetidOslo]]&lt;=C$434,C$434,IF(Tabell2[[#This Row],[ReisetidOslo]]&gt;=C$435,C$435,Tabell2[[#This Row],[ReisetidOslo]]))</f>
        <v>235.96666666670001</v>
      </c>
      <c r="M272" s="32">
        <f>IF(Tabell2[[#This Row],[Beftettotal]]&lt;=D$434,D$434,IF(Tabell2[[#This Row],[Beftettotal]]&gt;=D$435,D$435,Tabell2[[#This Row],[Beftettotal]]))</f>
        <v>1.7763269459046973</v>
      </c>
      <c r="N272" s="34">
        <f>IF(Tabell2[[#This Row],[Befvekst10]]&lt;=E$434,E$434,IF(Tabell2[[#This Row],[Befvekst10]]&gt;=E$435,E$435,Tabell2[[#This Row],[Befvekst10]]))</f>
        <v>-7.6196156394963507E-2</v>
      </c>
      <c r="O272" s="34">
        <f>IF(Tabell2[[#This Row],[Kvinneandel]]&lt;=F$434,F$434,IF(Tabell2[[#This Row],[Kvinneandel]]&gt;=F$435,F$435,Tabell2[[#This Row],[Kvinneandel]]))</f>
        <v>9.0490197137593403E-2</v>
      </c>
      <c r="P272" s="34">
        <f>IF(Tabell2[[#This Row],[Eldreandel]]&lt;=G$434,G$434,IF(Tabell2[[#This Row],[Eldreandel]]&gt;=G$435,G$435,Tabell2[[#This Row],[Eldreandel]]))</f>
        <v>0.20167064439140811</v>
      </c>
      <c r="Q272" s="34">
        <f>IF(Tabell2[[#This Row],[Sysselsettingsvekst10]]&lt;=H$434,H$434,IF(Tabell2[[#This Row],[Sysselsettingsvekst10]]&gt;=H$435,H$435,Tabell2[[#This Row],[Sysselsettingsvekst10]]))</f>
        <v>-2.8473804100227817E-2</v>
      </c>
      <c r="R272" s="34">
        <f>IF(Tabell2[[#This Row],[Yrkesaktivandel]]&lt;=I$434,I$434,IF(Tabell2[[#This Row],[Yrkesaktivandel]]&gt;=I$435,I$435,Tabell2[[#This Row],[Yrkesaktivandel]]))</f>
        <v>0.96203284815106216</v>
      </c>
      <c r="S272" s="22">
        <f>IF(Tabell2[[#This Row],[Inntekt]]&lt;=J$434,J$434,IF(Tabell2[[#This Row],[Inntekt]]&gt;=J$435,J$435,Tabell2[[#This Row],[Inntekt]]))</f>
        <v>357700</v>
      </c>
      <c r="T272" s="22">
        <f>IF(Tabell2[[#This Row],[NIBR11-T]]&lt;=K$437,100,IF(Tabell2[[#This Row],[NIBR11-T]]&gt;=K$436,0,100*(K$436-Tabell2[[#This Row],[NIBR11-T]])/K$439))</f>
        <v>20</v>
      </c>
      <c r="U272" s="7">
        <f>IF(Tabell2[[#This Row],[ReisetidOslo-T]]&lt;=L$437,100,IF(Tabell2[[#This Row],[ReisetidOslo-T]]&gt;=L$436,0,100*(L$436-Tabell2[[#This Row],[ReisetidOslo-T]])/L$439))</f>
        <v>19.520292504563997</v>
      </c>
      <c r="V272" s="7">
        <f>100-(M$436-Tabell2[[#This Row],[Beftettotal-T]])*100/M$439</f>
        <v>0.34544176166841112</v>
      </c>
      <c r="W272" s="7">
        <f>100-(N$436-Tabell2[[#This Row],[Befvekst10-T]])*100/N$439</f>
        <v>0</v>
      </c>
      <c r="X272" s="7">
        <f>100-(O$436-Tabell2[[#This Row],[Kvinneandel-T]])*100/O$439</f>
        <v>0</v>
      </c>
      <c r="Y272" s="7">
        <f>(P$436-Tabell2[[#This Row],[Eldreandel-T]])*100/P$439</f>
        <v>13.931700948048368</v>
      </c>
      <c r="Z272" s="7">
        <f>100-(Q$436-Tabell2[[#This Row],[Sysselsettingsvekst10-T]])*100/Q$439</f>
        <v>12.276441096566941</v>
      </c>
      <c r="AA272" s="7">
        <f>100-(R$436-Tabell2[[#This Row],[Yrkesaktivandel-T]])*100/R$439</f>
        <v>100</v>
      </c>
      <c r="AB272" s="7">
        <f>100-(S$436-Tabell2[[#This Row],[Inntekt-T]])*100/S$439</f>
        <v>30.253076387276522</v>
      </c>
      <c r="AC272" s="55">
        <f>Tabell2[[#This Row],[NIBR11-I]]*Vekter!$B$3</f>
        <v>4</v>
      </c>
      <c r="AD272" s="55">
        <f>Tabell2[[#This Row],[ReisetidOslo-I]]*Vekter!$C$3</f>
        <v>1.9520292504563999</v>
      </c>
      <c r="AE272" s="55">
        <f>Tabell2[[#This Row],[Beftettotal-I]]*Vekter!$D$3</f>
        <v>3.4544176166841113E-2</v>
      </c>
      <c r="AF272" s="55">
        <f>Tabell2[[#This Row],[Befvekst10-I]]*Vekter!$E$3</f>
        <v>0</v>
      </c>
      <c r="AG272" s="55">
        <f>Tabell2[[#This Row],[Kvinneandel-I]]*Vekter!$F$3</f>
        <v>0</v>
      </c>
      <c r="AH272" s="55">
        <f>Tabell2[[#This Row],[Eldreandel-I]]*Vekter!$G$3</f>
        <v>0.69658504740241844</v>
      </c>
      <c r="AI272" s="55">
        <f>Tabell2[[#This Row],[Sysselsettingsvekst10-I]]*Vekter!$H$3</f>
        <v>1.2276441096566941</v>
      </c>
      <c r="AJ272" s="55">
        <f>Tabell2[[#This Row],[Yrkesaktivandel-I]]*Vekter!$J$3</f>
        <v>10</v>
      </c>
      <c r="AK272" s="55">
        <f>Tabell2[[#This Row],[Inntekt-I]]*Vekter!$L$3</f>
        <v>3.0253076387276523</v>
      </c>
      <c r="AL272" s="56">
        <f>SUM(Tabell2[[#This Row],[NIBR11-v]:[Inntekt-v]])</f>
        <v>20.936110222410008</v>
      </c>
    </row>
    <row r="273" spans="1:38" x14ac:dyDescent="0.25">
      <c r="A273" s="2" t="s">
        <v>270</v>
      </c>
      <c r="B273">
        <f>'Rådata-K'!M272</f>
        <v>5</v>
      </c>
      <c r="C273" s="7">
        <f>'Rådata-K'!L272</f>
        <v>230.9166666667</v>
      </c>
      <c r="D273" s="34">
        <f>'Rådata-K'!N272</f>
        <v>5.3184117524773056</v>
      </c>
      <c r="E273" s="34">
        <f>'Rådata-K'!O272</f>
        <v>0</v>
      </c>
      <c r="F273" s="34">
        <f>'Rådata-K'!P272</f>
        <v>0.11183496199782844</v>
      </c>
      <c r="G273" s="34">
        <f>'Rådata-K'!Q272</f>
        <v>0.18762214983713354</v>
      </c>
      <c r="H273" s="34">
        <f>'Rådata-K'!R272</f>
        <v>-2.4610336341263084E-3</v>
      </c>
      <c r="I273" s="34">
        <f>'Rådata-K'!S272</f>
        <v>0.98147418210484827</v>
      </c>
      <c r="J273" s="22">
        <f>'Rådata-K'!K272</f>
        <v>365500</v>
      </c>
      <c r="K273" s="22">
        <f>Tabell2[[#This Row],[NIBR11]]</f>
        <v>5</v>
      </c>
      <c r="L273" s="32">
        <f>IF(Tabell2[[#This Row],[ReisetidOslo]]&lt;=C$434,C$434,IF(Tabell2[[#This Row],[ReisetidOslo]]&gt;=C$435,C$435,Tabell2[[#This Row],[ReisetidOslo]]))</f>
        <v>230.9166666667</v>
      </c>
      <c r="M273" s="32">
        <f>IF(Tabell2[[#This Row],[Beftettotal]]&lt;=D$434,D$434,IF(Tabell2[[#This Row],[Beftettotal]]&gt;=D$435,D$435,Tabell2[[#This Row],[Beftettotal]]))</f>
        <v>5.3184117524773056</v>
      </c>
      <c r="N273" s="34">
        <f>IF(Tabell2[[#This Row],[Befvekst10]]&lt;=E$434,E$434,IF(Tabell2[[#This Row],[Befvekst10]]&gt;=E$435,E$435,Tabell2[[#This Row],[Befvekst10]]))</f>
        <v>0</v>
      </c>
      <c r="O273" s="34">
        <f>IF(Tabell2[[#This Row],[Kvinneandel]]&lt;=F$434,F$434,IF(Tabell2[[#This Row],[Kvinneandel]]&gt;=F$435,F$435,Tabell2[[#This Row],[Kvinneandel]]))</f>
        <v>0.11183496199782844</v>
      </c>
      <c r="P273" s="34">
        <f>IF(Tabell2[[#This Row],[Eldreandel]]&lt;=G$434,G$434,IF(Tabell2[[#This Row],[Eldreandel]]&gt;=G$435,G$435,Tabell2[[#This Row],[Eldreandel]]))</f>
        <v>0.18762214983713354</v>
      </c>
      <c r="Q273" s="34">
        <f>IF(Tabell2[[#This Row],[Sysselsettingsvekst10]]&lt;=H$434,H$434,IF(Tabell2[[#This Row],[Sysselsettingsvekst10]]&gt;=H$435,H$435,Tabell2[[#This Row],[Sysselsettingsvekst10]]))</f>
        <v>-2.4610336341263084E-3</v>
      </c>
      <c r="R273" s="34">
        <f>IF(Tabell2[[#This Row],[Yrkesaktivandel]]&lt;=I$434,I$434,IF(Tabell2[[#This Row],[Yrkesaktivandel]]&gt;=I$435,I$435,Tabell2[[#This Row],[Yrkesaktivandel]]))</f>
        <v>0.96203284815106216</v>
      </c>
      <c r="S273" s="22">
        <f>IF(Tabell2[[#This Row],[Inntekt]]&lt;=J$434,J$434,IF(Tabell2[[#This Row],[Inntekt]]&gt;=J$435,J$435,Tabell2[[#This Row],[Inntekt]]))</f>
        <v>365500</v>
      </c>
      <c r="T273" s="22">
        <f>IF(Tabell2[[#This Row],[NIBR11-T]]&lt;=K$437,100,IF(Tabell2[[#This Row],[NIBR11-T]]&gt;=K$436,0,100*(K$436-Tabell2[[#This Row],[NIBR11-T]])/K$439))</f>
        <v>60</v>
      </c>
      <c r="U273" s="7">
        <f>IF(Tabell2[[#This Row],[ReisetidOslo-T]]&lt;=L$437,100,IF(Tabell2[[#This Row],[ReisetidOslo-T]]&gt;=L$436,0,100*(L$436-Tabell2[[#This Row],[ReisetidOslo-T]])/L$439))</f>
        <v>21.736014625221909</v>
      </c>
      <c r="V273" s="7">
        <f>100-(M$436-Tabell2[[#This Row],[Beftettotal-T]])*100/M$439</f>
        <v>3.0854950670670576</v>
      </c>
      <c r="W273" s="7">
        <f>100-(N$436-Tabell2[[#This Row],[Befvekst10-T]])*100/N$439</f>
        <v>30.679357854931823</v>
      </c>
      <c r="X273" s="7">
        <f>100-(O$436-Tabell2[[#This Row],[Kvinneandel-T]])*100/O$439</f>
        <v>56.403145609843598</v>
      </c>
      <c r="Y273" s="7">
        <f>(P$436-Tabell2[[#This Row],[Eldreandel-T]])*100/P$439</f>
        <v>29.32536608715802</v>
      </c>
      <c r="Z273" s="7">
        <f>100-(Q$436-Tabell2[[#This Row],[Sysselsettingsvekst10-T]])*100/Q$439</f>
        <v>20.016304354116699</v>
      </c>
      <c r="AA273" s="7">
        <f>100-(R$436-Tabell2[[#This Row],[Yrkesaktivandel-T]])*100/R$439</f>
        <v>100</v>
      </c>
      <c r="AB273" s="7">
        <f>100-(S$436-Tabell2[[#This Row],[Inntekt-T]])*100/S$439</f>
        <v>39.308103087996287</v>
      </c>
      <c r="AC273" s="55">
        <f>Tabell2[[#This Row],[NIBR11-I]]*Vekter!$B$3</f>
        <v>12</v>
      </c>
      <c r="AD273" s="55">
        <f>Tabell2[[#This Row],[ReisetidOslo-I]]*Vekter!$C$3</f>
        <v>2.1736014625221909</v>
      </c>
      <c r="AE273" s="55">
        <f>Tabell2[[#This Row],[Beftettotal-I]]*Vekter!$D$3</f>
        <v>0.30854950670670578</v>
      </c>
      <c r="AF273" s="55">
        <f>Tabell2[[#This Row],[Befvekst10-I]]*Vekter!$E$3</f>
        <v>6.1358715709863647</v>
      </c>
      <c r="AG273" s="55">
        <f>Tabell2[[#This Row],[Kvinneandel-I]]*Vekter!$F$3</f>
        <v>2.8201572804921802</v>
      </c>
      <c r="AH273" s="55">
        <f>Tabell2[[#This Row],[Eldreandel-I]]*Vekter!$G$3</f>
        <v>1.466268304357901</v>
      </c>
      <c r="AI273" s="55">
        <f>Tabell2[[#This Row],[Sysselsettingsvekst10-I]]*Vekter!$H$3</f>
        <v>2.0016304354116699</v>
      </c>
      <c r="AJ273" s="55">
        <f>Tabell2[[#This Row],[Yrkesaktivandel-I]]*Vekter!$J$3</f>
        <v>10</v>
      </c>
      <c r="AK273" s="55">
        <f>Tabell2[[#This Row],[Inntekt-I]]*Vekter!$L$3</f>
        <v>3.9308103087996287</v>
      </c>
      <c r="AL273" s="56">
        <f>SUM(Tabell2[[#This Row],[NIBR11-v]:[Inntekt-v]])</f>
        <v>40.836888869276642</v>
      </c>
    </row>
    <row r="274" spans="1:38" x14ac:dyDescent="0.25">
      <c r="A274" s="2" t="s">
        <v>271</v>
      </c>
      <c r="B274">
        <f>'Rådata-K'!M273</f>
        <v>4</v>
      </c>
      <c r="C274" s="7">
        <f>'Rådata-K'!L273</f>
        <v>214.76666666669999</v>
      </c>
      <c r="D274" s="34">
        <f>'Rådata-K'!N273</f>
        <v>4.2214756951471246</v>
      </c>
      <c r="E274" s="34">
        <f>'Rådata-K'!O273</f>
        <v>3.5749751737835123E-2</v>
      </c>
      <c r="F274" s="34">
        <f>'Rådata-K'!P273</f>
        <v>8.5330776605944389E-2</v>
      </c>
      <c r="G274" s="34">
        <f>'Rådata-K'!Q273</f>
        <v>0.16874400767018216</v>
      </c>
      <c r="H274" s="34">
        <f>'Rådata-K'!R273</f>
        <v>-0.20957095709570961</v>
      </c>
      <c r="I274" s="34">
        <f>'Rådata-K'!S273</f>
        <v>0.88632326820603913</v>
      </c>
      <c r="J274" s="22">
        <f>'Rådata-K'!K273</f>
        <v>333200</v>
      </c>
      <c r="K274" s="22">
        <f>Tabell2[[#This Row],[NIBR11]]</f>
        <v>4</v>
      </c>
      <c r="L274" s="32">
        <f>IF(Tabell2[[#This Row],[ReisetidOslo]]&lt;=C$434,C$434,IF(Tabell2[[#This Row],[ReisetidOslo]]&gt;=C$435,C$435,Tabell2[[#This Row],[ReisetidOslo]]))</f>
        <v>214.76666666669999</v>
      </c>
      <c r="M274" s="32">
        <f>IF(Tabell2[[#This Row],[Beftettotal]]&lt;=D$434,D$434,IF(Tabell2[[#This Row],[Beftettotal]]&gt;=D$435,D$435,Tabell2[[#This Row],[Beftettotal]]))</f>
        <v>4.2214756951471246</v>
      </c>
      <c r="N274" s="34">
        <f>IF(Tabell2[[#This Row],[Befvekst10]]&lt;=E$434,E$434,IF(Tabell2[[#This Row],[Befvekst10]]&gt;=E$435,E$435,Tabell2[[#This Row],[Befvekst10]]))</f>
        <v>3.5749751737835123E-2</v>
      </c>
      <c r="O274" s="34">
        <f>IF(Tabell2[[#This Row],[Kvinneandel]]&lt;=F$434,F$434,IF(Tabell2[[#This Row],[Kvinneandel]]&gt;=F$435,F$435,Tabell2[[#This Row],[Kvinneandel]]))</f>
        <v>9.0490197137593403E-2</v>
      </c>
      <c r="P274" s="34">
        <f>IF(Tabell2[[#This Row],[Eldreandel]]&lt;=G$434,G$434,IF(Tabell2[[#This Row],[Eldreandel]]&gt;=G$435,G$435,Tabell2[[#This Row],[Eldreandel]]))</f>
        <v>0.16874400767018216</v>
      </c>
      <c r="Q274" s="34">
        <f>IF(Tabell2[[#This Row],[Sysselsettingsvekst10]]&lt;=H$434,H$434,IF(Tabell2[[#This Row],[Sysselsettingsvekst10]]&gt;=H$435,H$435,Tabell2[[#This Row],[Sysselsettingsvekst10]]))</f>
        <v>-6.9733479337269061E-2</v>
      </c>
      <c r="R274" s="34">
        <f>IF(Tabell2[[#This Row],[Yrkesaktivandel]]&lt;=I$434,I$434,IF(Tabell2[[#This Row],[Yrkesaktivandel]]&gt;=I$435,I$435,Tabell2[[#This Row],[Yrkesaktivandel]]))</f>
        <v>0.88632326820603913</v>
      </c>
      <c r="S274" s="22">
        <f>IF(Tabell2[[#This Row],[Inntekt]]&lt;=J$434,J$434,IF(Tabell2[[#This Row],[Inntekt]]&gt;=J$435,J$435,Tabell2[[#This Row],[Inntekt]]))</f>
        <v>333200</v>
      </c>
      <c r="T274" s="22">
        <f>IF(Tabell2[[#This Row],[NIBR11-T]]&lt;=K$437,100,IF(Tabell2[[#This Row],[NIBR11-T]]&gt;=K$436,0,100*(K$436-Tabell2[[#This Row],[NIBR11-T]])/K$439))</f>
        <v>70</v>
      </c>
      <c r="U274" s="7">
        <f>IF(Tabell2[[#This Row],[ReisetidOslo-T]]&lt;=L$437,100,IF(Tabell2[[#This Row],[ReisetidOslo-T]]&gt;=L$436,0,100*(L$436-Tabell2[[#This Row],[ReisetidOslo-T]])/L$439))</f>
        <v>28.821937842771462</v>
      </c>
      <c r="V274" s="7">
        <f>100-(M$436-Tabell2[[#This Row],[Beftettotal-T]])*100/M$439</f>
        <v>2.2369373859744712</v>
      </c>
      <c r="W274" s="7">
        <f>100-(N$436-Tabell2[[#This Row],[Befvekst10-T]])*100/N$439</f>
        <v>45.073514708524911</v>
      </c>
      <c r="X274" s="7">
        <f>100-(O$436-Tabell2[[#This Row],[Kvinneandel-T]])*100/O$439</f>
        <v>0</v>
      </c>
      <c r="Y274" s="7">
        <f>(P$436-Tabell2[[#This Row],[Eldreandel-T]])*100/P$439</f>
        <v>50.011126959530849</v>
      </c>
      <c r="Z274" s="7">
        <f>100-(Q$436-Tabell2[[#This Row],[Sysselsettingsvekst10-T]])*100/Q$439</f>
        <v>0</v>
      </c>
      <c r="AA274" s="7">
        <f>100-(R$436-Tabell2[[#This Row],[Yrkesaktivandel-T]])*100/R$439</f>
        <v>41.787528681113962</v>
      </c>
      <c r="AB274" s="7">
        <f>100-(S$436-Tabell2[[#This Row],[Inntekt-T]])*100/S$439</f>
        <v>1.8110053401439501</v>
      </c>
      <c r="AC274" s="55">
        <f>Tabell2[[#This Row],[NIBR11-I]]*Vekter!$B$3</f>
        <v>14</v>
      </c>
      <c r="AD274" s="55">
        <f>Tabell2[[#This Row],[ReisetidOslo-I]]*Vekter!$C$3</f>
        <v>2.8821937842771463</v>
      </c>
      <c r="AE274" s="55">
        <f>Tabell2[[#This Row],[Beftettotal-I]]*Vekter!$D$3</f>
        <v>0.22369373859744712</v>
      </c>
      <c r="AF274" s="55">
        <f>Tabell2[[#This Row],[Befvekst10-I]]*Vekter!$E$3</f>
        <v>9.0147029417049822</v>
      </c>
      <c r="AG274" s="55">
        <f>Tabell2[[#This Row],[Kvinneandel-I]]*Vekter!$F$3</f>
        <v>0</v>
      </c>
      <c r="AH274" s="55">
        <f>Tabell2[[#This Row],[Eldreandel-I]]*Vekter!$G$3</f>
        <v>2.5005563479765427</v>
      </c>
      <c r="AI274" s="55">
        <f>Tabell2[[#This Row],[Sysselsettingsvekst10-I]]*Vekter!$H$3</f>
        <v>0</v>
      </c>
      <c r="AJ274" s="55">
        <f>Tabell2[[#This Row],[Yrkesaktivandel-I]]*Vekter!$J$3</f>
        <v>4.1787528681113963</v>
      </c>
      <c r="AK274" s="55">
        <f>Tabell2[[#This Row],[Inntekt-I]]*Vekter!$L$3</f>
        <v>0.18110053401439502</v>
      </c>
      <c r="AL274" s="56">
        <f>SUM(Tabell2[[#This Row],[NIBR11-v]:[Inntekt-v]])</f>
        <v>32.981000214681913</v>
      </c>
    </row>
    <row r="275" spans="1:38" x14ac:dyDescent="0.25">
      <c r="A275" s="2" t="s">
        <v>272</v>
      </c>
      <c r="B275">
        <f>'Rådata-K'!M274</f>
        <v>4</v>
      </c>
      <c r="C275" s="7">
        <f>'Rådata-K'!L274</f>
        <v>203.95</v>
      </c>
      <c r="D275" s="34">
        <f>'Rådata-K'!N274</f>
        <v>22.816626206406539</v>
      </c>
      <c r="E275" s="34">
        <f>'Rådata-K'!O274</f>
        <v>3.5052377115229572E-2</v>
      </c>
      <c r="F275" s="34">
        <f>'Rådata-K'!P274</f>
        <v>0.11132736473335929</v>
      </c>
      <c r="G275" s="34">
        <f>'Rådata-K'!Q274</f>
        <v>0.15025301673803035</v>
      </c>
      <c r="H275" s="34">
        <f>'Rådata-K'!R274</f>
        <v>-1.9018247237214125E-2</v>
      </c>
      <c r="I275" s="34">
        <f>'Rådata-K'!S274</f>
        <v>0.93471810089020768</v>
      </c>
      <c r="J275" s="22">
        <f>'Rådata-K'!K274</f>
        <v>374500</v>
      </c>
      <c r="K275" s="22">
        <f>Tabell2[[#This Row],[NIBR11]]</f>
        <v>4</v>
      </c>
      <c r="L275" s="32">
        <f>IF(Tabell2[[#This Row],[ReisetidOslo]]&lt;=C$434,C$434,IF(Tabell2[[#This Row],[ReisetidOslo]]&gt;=C$435,C$435,Tabell2[[#This Row],[ReisetidOslo]]))</f>
        <v>203.95</v>
      </c>
      <c r="M275" s="32">
        <f>IF(Tabell2[[#This Row],[Beftettotal]]&lt;=D$434,D$434,IF(Tabell2[[#This Row],[Beftettotal]]&gt;=D$435,D$435,Tabell2[[#This Row],[Beftettotal]]))</f>
        <v>22.816626206406539</v>
      </c>
      <c r="N275" s="34">
        <f>IF(Tabell2[[#This Row],[Befvekst10]]&lt;=E$434,E$434,IF(Tabell2[[#This Row],[Befvekst10]]&gt;=E$435,E$435,Tabell2[[#This Row],[Befvekst10]]))</f>
        <v>3.5052377115229572E-2</v>
      </c>
      <c r="O275" s="34">
        <f>IF(Tabell2[[#This Row],[Kvinneandel]]&lt;=F$434,F$434,IF(Tabell2[[#This Row],[Kvinneandel]]&gt;=F$435,F$435,Tabell2[[#This Row],[Kvinneandel]]))</f>
        <v>0.11132736473335929</v>
      </c>
      <c r="P275" s="34">
        <f>IF(Tabell2[[#This Row],[Eldreandel]]&lt;=G$434,G$434,IF(Tabell2[[#This Row],[Eldreandel]]&gt;=G$435,G$435,Tabell2[[#This Row],[Eldreandel]]))</f>
        <v>0.15025301673803035</v>
      </c>
      <c r="Q275" s="34">
        <f>IF(Tabell2[[#This Row],[Sysselsettingsvekst10]]&lt;=H$434,H$434,IF(Tabell2[[#This Row],[Sysselsettingsvekst10]]&gt;=H$435,H$435,Tabell2[[#This Row],[Sysselsettingsvekst10]]))</f>
        <v>-1.9018247237214125E-2</v>
      </c>
      <c r="R275" s="34">
        <f>IF(Tabell2[[#This Row],[Yrkesaktivandel]]&lt;=I$434,I$434,IF(Tabell2[[#This Row],[Yrkesaktivandel]]&gt;=I$435,I$435,Tabell2[[#This Row],[Yrkesaktivandel]]))</f>
        <v>0.93471810089020768</v>
      </c>
      <c r="S275" s="22">
        <f>IF(Tabell2[[#This Row],[Inntekt]]&lt;=J$434,J$434,IF(Tabell2[[#This Row],[Inntekt]]&gt;=J$435,J$435,Tabell2[[#This Row],[Inntekt]]))</f>
        <v>374500</v>
      </c>
      <c r="T275" s="22">
        <f>IF(Tabell2[[#This Row],[NIBR11-T]]&lt;=K$437,100,IF(Tabell2[[#This Row],[NIBR11-T]]&gt;=K$436,0,100*(K$436-Tabell2[[#This Row],[NIBR11-T]])/K$439))</f>
        <v>70</v>
      </c>
      <c r="U275" s="7">
        <f>IF(Tabell2[[#This Row],[ReisetidOslo-T]]&lt;=L$437,100,IF(Tabell2[[#This Row],[ReisetidOslo-T]]&gt;=L$436,0,100*(L$436-Tabell2[[#This Row],[ReisetidOslo-T]])/L$439))</f>
        <v>33.567824497264581</v>
      </c>
      <c r="V275" s="7">
        <f>100-(M$436-Tabell2[[#This Row],[Beftettotal-T]])*100/M$439</f>
        <v>16.621602464635728</v>
      </c>
      <c r="W275" s="7">
        <f>100-(N$436-Tabell2[[#This Row],[Befvekst10-T]])*100/N$439</f>
        <v>44.79272619348535</v>
      </c>
      <c r="X275" s="7">
        <f>100-(O$436-Tabell2[[#This Row],[Kvinneandel-T]])*100/O$439</f>
        <v>55.061829244613953</v>
      </c>
      <c r="Y275" s="7">
        <f>(P$436-Tabell2[[#This Row],[Eldreandel-T]])*100/P$439</f>
        <v>70.272666115927422</v>
      </c>
      <c r="Z275" s="7">
        <f>100-(Q$436-Tabell2[[#This Row],[Sysselsettingsvekst10-T]])*100/Q$439</f>
        <v>15.089856039780415</v>
      </c>
      <c r="AA275" s="7">
        <f>100-(R$436-Tabell2[[#This Row],[Yrkesaktivandel-T]])*100/R$439</f>
        <v>78.997916212720469</v>
      </c>
      <c r="AB275" s="7">
        <f>100-(S$436-Tabell2[[#This Row],[Inntekt-T]])*100/S$439</f>
        <v>49.756210819596006</v>
      </c>
      <c r="AC275" s="55">
        <f>Tabell2[[#This Row],[NIBR11-I]]*Vekter!$B$3</f>
        <v>14</v>
      </c>
      <c r="AD275" s="55">
        <f>Tabell2[[#This Row],[ReisetidOslo-I]]*Vekter!$C$3</f>
        <v>3.3567824497264582</v>
      </c>
      <c r="AE275" s="55">
        <f>Tabell2[[#This Row],[Beftettotal-I]]*Vekter!$D$3</f>
        <v>1.662160246463573</v>
      </c>
      <c r="AF275" s="55">
        <f>Tabell2[[#This Row],[Befvekst10-I]]*Vekter!$E$3</f>
        <v>8.9585452386970701</v>
      </c>
      <c r="AG275" s="55">
        <f>Tabell2[[#This Row],[Kvinneandel-I]]*Vekter!$F$3</f>
        <v>2.7530914622306977</v>
      </c>
      <c r="AH275" s="55">
        <f>Tabell2[[#This Row],[Eldreandel-I]]*Vekter!$G$3</f>
        <v>3.5136333057963713</v>
      </c>
      <c r="AI275" s="55">
        <f>Tabell2[[#This Row],[Sysselsettingsvekst10-I]]*Vekter!$H$3</f>
        <v>1.5089856039780416</v>
      </c>
      <c r="AJ275" s="55">
        <f>Tabell2[[#This Row],[Yrkesaktivandel-I]]*Vekter!$J$3</f>
        <v>7.8997916212720476</v>
      </c>
      <c r="AK275" s="55">
        <f>Tabell2[[#This Row],[Inntekt-I]]*Vekter!$L$3</f>
        <v>4.9756210819596012</v>
      </c>
      <c r="AL275" s="56">
        <f>SUM(Tabell2[[#This Row],[NIBR11-v]:[Inntekt-v]])</f>
        <v>48.628611010123862</v>
      </c>
    </row>
    <row r="276" spans="1:38" x14ac:dyDescent="0.25">
      <c r="A276" s="2" t="s">
        <v>273</v>
      </c>
      <c r="B276">
        <f>'Rådata-K'!M275</f>
        <v>4</v>
      </c>
      <c r="C276" s="7">
        <f>'Rådata-K'!L275</f>
        <v>190.36666666669998</v>
      </c>
      <c r="D276" s="34">
        <f>'Rådata-K'!N275</f>
        <v>37.199033574939598</v>
      </c>
      <c r="E276" s="34">
        <f>'Rådata-K'!O275</f>
        <v>0.24131220461495695</v>
      </c>
      <c r="F276" s="34">
        <f>'Rådata-K'!P275</f>
        <v>0.13258678611422173</v>
      </c>
      <c r="G276" s="34">
        <f>'Rådata-K'!Q275</f>
        <v>0.11758118701007839</v>
      </c>
      <c r="H276" s="34">
        <f>'Rådata-K'!R275</f>
        <v>0.4366062917063871</v>
      </c>
      <c r="I276" s="34">
        <f>'Rådata-K'!S275</f>
        <v>0.90568225744105146</v>
      </c>
      <c r="J276" s="22">
        <f>'Rådata-K'!K275</f>
        <v>392900</v>
      </c>
      <c r="K276" s="22">
        <f>Tabell2[[#This Row],[NIBR11]]</f>
        <v>4</v>
      </c>
      <c r="L276" s="32">
        <f>IF(Tabell2[[#This Row],[ReisetidOslo]]&lt;=C$434,C$434,IF(Tabell2[[#This Row],[ReisetidOslo]]&gt;=C$435,C$435,Tabell2[[#This Row],[ReisetidOslo]]))</f>
        <v>190.36666666669998</v>
      </c>
      <c r="M276" s="32">
        <f>IF(Tabell2[[#This Row],[Beftettotal]]&lt;=D$434,D$434,IF(Tabell2[[#This Row],[Beftettotal]]&gt;=D$435,D$435,Tabell2[[#This Row],[Beftettotal]]))</f>
        <v>37.199033574939598</v>
      </c>
      <c r="N276" s="34">
        <f>IF(Tabell2[[#This Row],[Befvekst10]]&lt;=E$434,E$434,IF(Tabell2[[#This Row],[Befvekst10]]&gt;=E$435,E$435,Tabell2[[#This Row],[Befvekst10]]))</f>
        <v>0.17216678769030419</v>
      </c>
      <c r="O276" s="34">
        <f>IF(Tabell2[[#This Row],[Kvinneandel]]&lt;=F$434,F$434,IF(Tabell2[[#This Row],[Kvinneandel]]&gt;=F$435,F$435,Tabell2[[#This Row],[Kvinneandel]]))</f>
        <v>0.12833341426573511</v>
      </c>
      <c r="P276" s="34">
        <f>IF(Tabell2[[#This Row],[Eldreandel]]&lt;=G$434,G$434,IF(Tabell2[[#This Row],[Eldreandel]]&gt;=G$435,G$435,Tabell2[[#This Row],[Eldreandel]]))</f>
        <v>0.12312339657223466</v>
      </c>
      <c r="Q276" s="34">
        <f>IF(Tabell2[[#This Row],[Sysselsettingsvekst10]]&lt;=H$434,H$434,IF(Tabell2[[#This Row],[Sysselsettingsvekst10]]&gt;=H$435,H$435,Tabell2[[#This Row],[Sysselsettingsvekst10]]))</f>
        <v>0.26635476409167841</v>
      </c>
      <c r="R276" s="34">
        <f>IF(Tabell2[[#This Row],[Yrkesaktivandel]]&lt;=I$434,I$434,IF(Tabell2[[#This Row],[Yrkesaktivandel]]&gt;=I$435,I$435,Tabell2[[#This Row],[Yrkesaktivandel]]))</f>
        <v>0.90568225744105146</v>
      </c>
      <c r="S276" s="22">
        <f>IF(Tabell2[[#This Row],[Inntekt]]&lt;=J$434,J$434,IF(Tabell2[[#This Row],[Inntekt]]&gt;=J$435,J$435,Tabell2[[#This Row],[Inntekt]]))</f>
        <v>392900</v>
      </c>
      <c r="T276" s="22">
        <f>IF(Tabell2[[#This Row],[NIBR11-T]]&lt;=K$437,100,IF(Tabell2[[#This Row],[NIBR11-T]]&gt;=K$436,0,100*(K$436-Tabell2[[#This Row],[NIBR11-T]])/K$439))</f>
        <v>70</v>
      </c>
      <c r="U276" s="7">
        <f>IF(Tabell2[[#This Row],[ReisetidOslo-T]]&lt;=L$437,100,IF(Tabell2[[#This Row],[ReisetidOslo-T]]&gt;=L$436,0,100*(L$436-Tabell2[[#This Row],[ReisetidOslo-T]])/L$439))</f>
        <v>39.527605118821555</v>
      </c>
      <c r="V276" s="7">
        <f>100-(M$436-Tabell2[[#This Row],[Beftettotal-T]])*100/M$439</f>
        <v>27.747412545922671</v>
      </c>
      <c r="W276" s="7">
        <f>100-(N$436-Tabell2[[#This Row],[Befvekst10-T]])*100/N$439</f>
        <v>100</v>
      </c>
      <c r="X276" s="7">
        <f>100-(O$436-Tabell2[[#This Row],[Kvinneandel-T]])*100/O$439</f>
        <v>100</v>
      </c>
      <c r="Y276" s="7">
        <f>(P$436-Tabell2[[#This Row],[Eldreandel-T]])*100/P$439</f>
        <v>100</v>
      </c>
      <c r="Z276" s="7">
        <f>100-(Q$436-Tabell2[[#This Row],[Sysselsettingsvekst10-T]])*100/Q$439</f>
        <v>100</v>
      </c>
      <c r="AA276" s="7">
        <f>100-(R$436-Tabell2[[#This Row],[Yrkesaktivandel-T]])*100/R$439</f>
        <v>56.672495767499974</v>
      </c>
      <c r="AB276" s="7">
        <f>100-(S$436-Tabell2[[#This Row],[Inntekt-T]])*100/S$439</f>
        <v>71.116786626422112</v>
      </c>
      <c r="AC276" s="55">
        <f>Tabell2[[#This Row],[NIBR11-I]]*Vekter!$B$3</f>
        <v>14</v>
      </c>
      <c r="AD276" s="55">
        <f>Tabell2[[#This Row],[ReisetidOslo-I]]*Vekter!$C$3</f>
        <v>3.9527605118821558</v>
      </c>
      <c r="AE276" s="55">
        <f>Tabell2[[#This Row],[Beftettotal-I]]*Vekter!$D$3</f>
        <v>2.7747412545922674</v>
      </c>
      <c r="AF276" s="55">
        <f>Tabell2[[#This Row],[Befvekst10-I]]*Vekter!$E$3</f>
        <v>20</v>
      </c>
      <c r="AG276" s="55">
        <f>Tabell2[[#This Row],[Kvinneandel-I]]*Vekter!$F$3</f>
        <v>5</v>
      </c>
      <c r="AH276" s="55">
        <f>Tabell2[[#This Row],[Eldreandel-I]]*Vekter!$G$3</f>
        <v>5</v>
      </c>
      <c r="AI276" s="55">
        <f>Tabell2[[#This Row],[Sysselsettingsvekst10-I]]*Vekter!$H$3</f>
        <v>10</v>
      </c>
      <c r="AJ276" s="55">
        <f>Tabell2[[#This Row],[Yrkesaktivandel-I]]*Vekter!$J$3</f>
        <v>5.667249576749998</v>
      </c>
      <c r="AK276" s="55">
        <f>Tabell2[[#This Row],[Inntekt-I]]*Vekter!$L$3</f>
        <v>7.1116786626422117</v>
      </c>
      <c r="AL276" s="56">
        <f>SUM(Tabell2[[#This Row],[NIBR11-v]:[Inntekt-v]])</f>
        <v>73.506430005866619</v>
      </c>
    </row>
    <row r="277" spans="1:38" x14ac:dyDescent="0.25">
      <c r="A277" s="2" t="s">
        <v>274</v>
      </c>
      <c r="B277">
        <f>'Rådata-K'!M276</f>
        <v>4</v>
      </c>
      <c r="C277" s="7">
        <f>'Rådata-K'!L276</f>
        <v>193.61666666669998</v>
      </c>
      <c r="D277" s="34">
        <f>'Rådata-K'!N276</f>
        <v>151.36752136752136</v>
      </c>
      <c r="E277" s="34">
        <f>'Rådata-K'!O276</f>
        <v>0.18811216959613586</v>
      </c>
      <c r="F277" s="34">
        <f>'Rådata-K'!P276</f>
        <v>0.12433653303218521</v>
      </c>
      <c r="G277" s="34">
        <f>'Rådata-K'!Q276</f>
        <v>0.13201581027667983</v>
      </c>
      <c r="H277" s="34">
        <f>'Rådata-K'!R276</f>
        <v>0.14785686197404635</v>
      </c>
      <c r="I277" s="34">
        <f>'Rådata-K'!S276</f>
        <v>0.9301815280271295</v>
      </c>
      <c r="J277" s="22">
        <f>'Rådata-K'!K276</f>
        <v>385400</v>
      </c>
      <c r="K277" s="22">
        <f>Tabell2[[#This Row],[NIBR11]]</f>
        <v>4</v>
      </c>
      <c r="L277" s="32">
        <f>IF(Tabell2[[#This Row],[ReisetidOslo]]&lt;=C$434,C$434,IF(Tabell2[[#This Row],[ReisetidOslo]]&gt;=C$435,C$435,Tabell2[[#This Row],[ReisetidOslo]]))</f>
        <v>193.61666666669998</v>
      </c>
      <c r="M277" s="32">
        <f>IF(Tabell2[[#This Row],[Beftettotal]]&lt;=D$434,D$434,IF(Tabell2[[#This Row],[Beftettotal]]&gt;=D$435,D$435,Tabell2[[#This Row],[Beftettotal]]))</f>
        <v>130.60042534801397</v>
      </c>
      <c r="N277" s="34">
        <f>IF(Tabell2[[#This Row],[Befvekst10]]&lt;=E$434,E$434,IF(Tabell2[[#This Row],[Befvekst10]]&gt;=E$435,E$435,Tabell2[[#This Row],[Befvekst10]]))</f>
        <v>0.17216678769030419</v>
      </c>
      <c r="O277" s="34">
        <f>IF(Tabell2[[#This Row],[Kvinneandel]]&lt;=F$434,F$434,IF(Tabell2[[#This Row],[Kvinneandel]]&gt;=F$435,F$435,Tabell2[[#This Row],[Kvinneandel]]))</f>
        <v>0.12433653303218521</v>
      </c>
      <c r="P277" s="34">
        <f>IF(Tabell2[[#This Row],[Eldreandel]]&lt;=G$434,G$434,IF(Tabell2[[#This Row],[Eldreandel]]&gt;=G$435,G$435,Tabell2[[#This Row],[Eldreandel]]))</f>
        <v>0.13201581027667983</v>
      </c>
      <c r="Q277" s="34">
        <f>IF(Tabell2[[#This Row],[Sysselsettingsvekst10]]&lt;=H$434,H$434,IF(Tabell2[[#This Row],[Sysselsettingsvekst10]]&gt;=H$435,H$435,Tabell2[[#This Row],[Sysselsettingsvekst10]]))</f>
        <v>0.14785686197404635</v>
      </c>
      <c r="R277" s="34">
        <f>IF(Tabell2[[#This Row],[Yrkesaktivandel]]&lt;=I$434,I$434,IF(Tabell2[[#This Row],[Yrkesaktivandel]]&gt;=I$435,I$435,Tabell2[[#This Row],[Yrkesaktivandel]]))</f>
        <v>0.9301815280271295</v>
      </c>
      <c r="S277" s="22">
        <f>IF(Tabell2[[#This Row],[Inntekt]]&lt;=J$434,J$434,IF(Tabell2[[#This Row],[Inntekt]]&gt;=J$435,J$435,Tabell2[[#This Row],[Inntekt]]))</f>
        <v>385400</v>
      </c>
      <c r="T277" s="22">
        <f>IF(Tabell2[[#This Row],[NIBR11-T]]&lt;=K$437,100,IF(Tabell2[[#This Row],[NIBR11-T]]&gt;=K$436,0,100*(K$436-Tabell2[[#This Row],[NIBR11-T]])/K$439))</f>
        <v>70</v>
      </c>
      <c r="U277" s="7">
        <f>IF(Tabell2[[#This Row],[ReisetidOslo-T]]&lt;=L$437,100,IF(Tabell2[[#This Row],[ReisetidOslo-T]]&gt;=L$436,0,100*(L$436-Tabell2[[#This Row],[ReisetidOslo-T]])/L$439))</f>
        <v>38.101645338200129</v>
      </c>
      <c r="V277" s="7">
        <f>100-(M$436-Tabell2[[#This Row],[Beftettotal-T]])*100/M$439</f>
        <v>100</v>
      </c>
      <c r="W277" s="7">
        <f>100-(N$436-Tabell2[[#This Row],[Befvekst10-T]])*100/N$439</f>
        <v>100</v>
      </c>
      <c r="X277" s="7">
        <f>100-(O$436-Tabell2[[#This Row],[Kvinneandel-T]])*100/O$439</f>
        <v>89.438315405331494</v>
      </c>
      <c r="Y277" s="7">
        <f>(P$436-Tabell2[[#This Row],[Eldreandel-T]])*100/P$439</f>
        <v>90.256120446513762</v>
      </c>
      <c r="Z277" s="7">
        <f>100-(Q$436-Tabell2[[#This Row],[Sysselsettingsvekst10-T]])*100/Q$439</f>
        <v>64.742027001999631</v>
      </c>
      <c r="AA277" s="7">
        <f>100-(R$436-Tabell2[[#This Row],[Yrkesaktivandel-T]])*100/R$439</f>
        <v>75.509782770826547</v>
      </c>
      <c r="AB277" s="7">
        <f>100-(S$436-Tabell2[[#This Row],[Inntekt-T]])*100/S$439</f>
        <v>62.410030183422336</v>
      </c>
      <c r="AC277" s="55">
        <f>Tabell2[[#This Row],[NIBR11-I]]*Vekter!$B$3</f>
        <v>14</v>
      </c>
      <c r="AD277" s="55">
        <f>Tabell2[[#This Row],[ReisetidOslo-I]]*Vekter!$C$3</f>
        <v>3.810164533820013</v>
      </c>
      <c r="AE277" s="55">
        <f>Tabell2[[#This Row],[Beftettotal-I]]*Vekter!$D$3</f>
        <v>10</v>
      </c>
      <c r="AF277" s="55">
        <f>Tabell2[[#This Row],[Befvekst10-I]]*Vekter!$E$3</f>
        <v>20</v>
      </c>
      <c r="AG277" s="55">
        <f>Tabell2[[#This Row],[Kvinneandel-I]]*Vekter!$F$3</f>
        <v>4.4719157702665751</v>
      </c>
      <c r="AH277" s="55">
        <f>Tabell2[[#This Row],[Eldreandel-I]]*Vekter!$G$3</f>
        <v>4.5128060223256883</v>
      </c>
      <c r="AI277" s="55">
        <f>Tabell2[[#This Row],[Sysselsettingsvekst10-I]]*Vekter!$H$3</f>
        <v>6.4742027001999638</v>
      </c>
      <c r="AJ277" s="55">
        <f>Tabell2[[#This Row],[Yrkesaktivandel-I]]*Vekter!$J$3</f>
        <v>7.5509782770826552</v>
      </c>
      <c r="AK277" s="55">
        <f>Tabell2[[#This Row],[Inntekt-I]]*Vekter!$L$3</f>
        <v>6.2410030183422336</v>
      </c>
      <c r="AL277" s="56">
        <f>SUM(Tabell2[[#This Row],[NIBR11-v]:[Inntekt-v]])</f>
        <v>77.061070322037125</v>
      </c>
    </row>
    <row r="278" spans="1:38" x14ac:dyDescent="0.25">
      <c r="A278" s="2" t="s">
        <v>275</v>
      </c>
      <c r="B278">
        <f>'Rådata-K'!M277</f>
        <v>4</v>
      </c>
      <c r="C278" s="7">
        <f>'Rådata-K'!L277</f>
        <v>163.05000000000001</v>
      </c>
      <c r="D278" s="34">
        <f>'Rådata-K'!N277</f>
        <v>195.50949913644217</v>
      </c>
      <c r="E278" s="34">
        <f>'Rådata-K'!O277</f>
        <v>0.20224548626915495</v>
      </c>
      <c r="F278" s="34">
        <f>'Rådata-K'!P277</f>
        <v>0.12544169611307421</v>
      </c>
      <c r="G278" s="34">
        <f>'Rådata-K'!Q277</f>
        <v>0.12746087834427058</v>
      </c>
      <c r="H278" s="34">
        <f>'Rådata-K'!R277</f>
        <v>0.12687886825817851</v>
      </c>
      <c r="I278" s="34">
        <f>'Rådata-K'!S277</f>
        <v>0.93046579006017383</v>
      </c>
      <c r="J278" s="22">
        <f>'Rådata-K'!K277</f>
        <v>407400</v>
      </c>
      <c r="K278" s="22">
        <f>Tabell2[[#This Row],[NIBR11]]</f>
        <v>4</v>
      </c>
      <c r="L278" s="32">
        <f>IF(Tabell2[[#This Row],[ReisetidOslo]]&lt;=C$434,C$434,IF(Tabell2[[#This Row],[ReisetidOslo]]&gt;=C$435,C$435,Tabell2[[#This Row],[ReisetidOslo]]))</f>
        <v>163.05000000000001</v>
      </c>
      <c r="M278" s="32">
        <f>IF(Tabell2[[#This Row],[Beftettotal]]&lt;=D$434,D$434,IF(Tabell2[[#This Row],[Beftettotal]]&gt;=D$435,D$435,Tabell2[[#This Row],[Beftettotal]]))</f>
        <v>130.60042534801397</v>
      </c>
      <c r="N278" s="34">
        <f>IF(Tabell2[[#This Row],[Befvekst10]]&lt;=E$434,E$434,IF(Tabell2[[#This Row],[Befvekst10]]&gt;=E$435,E$435,Tabell2[[#This Row],[Befvekst10]]))</f>
        <v>0.17216678769030419</v>
      </c>
      <c r="O278" s="34">
        <f>IF(Tabell2[[#This Row],[Kvinneandel]]&lt;=F$434,F$434,IF(Tabell2[[#This Row],[Kvinneandel]]&gt;=F$435,F$435,Tabell2[[#This Row],[Kvinneandel]]))</f>
        <v>0.12544169611307421</v>
      </c>
      <c r="P278" s="34">
        <f>IF(Tabell2[[#This Row],[Eldreandel]]&lt;=G$434,G$434,IF(Tabell2[[#This Row],[Eldreandel]]&gt;=G$435,G$435,Tabell2[[#This Row],[Eldreandel]]))</f>
        <v>0.12746087834427058</v>
      </c>
      <c r="Q278" s="34">
        <f>IF(Tabell2[[#This Row],[Sysselsettingsvekst10]]&lt;=H$434,H$434,IF(Tabell2[[#This Row],[Sysselsettingsvekst10]]&gt;=H$435,H$435,Tabell2[[#This Row],[Sysselsettingsvekst10]]))</f>
        <v>0.12687886825817851</v>
      </c>
      <c r="R278" s="34">
        <f>IF(Tabell2[[#This Row],[Yrkesaktivandel]]&lt;=I$434,I$434,IF(Tabell2[[#This Row],[Yrkesaktivandel]]&gt;=I$435,I$435,Tabell2[[#This Row],[Yrkesaktivandel]]))</f>
        <v>0.93046579006017383</v>
      </c>
      <c r="S278" s="22">
        <f>IF(Tabell2[[#This Row],[Inntekt]]&lt;=J$434,J$434,IF(Tabell2[[#This Row],[Inntekt]]&gt;=J$435,J$435,Tabell2[[#This Row],[Inntekt]]))</f>
        <v>407400</v>
      </c>
      <c r="T278" s="22">
        <f>IF(Tabell2[[#This Row],[NIBR11-T]]&lt;=K$437,100,IF(Tabell2[[#This Row],[NIBR11-T]]&gt;=K$436,0,100*(K$436-Tabell2[[#This Row],[NIBR11-T]])/K$439))</f>
        <v>70</v>
      </c>
      <c r="U278" s="7">
        <f>IF(Tabell2[[#This Row],[ReisetidOslo-T]]&lt;=L$437,100,IF(Tabell2[[#This Row],[ReisetidOslo-T]]&gt;=L$436,0,100*(L$436-Tabell2[[#This Row],[ReisetidOslo-T]])/L$439))</f>
        <v>51.512979890315748</v>
      </c>
      <c r="V278" s="7">
        <f>100-(M$436-Tabell2[[#This Row],[Beftettotal-T]])*100/M$439</f>
        <v>100</v>
      </c>
      <c r="W278" s="7">
        <f>100-(N$436-Tabell2[[#This Row],[Befvekst10-T]])*100/N$439</f>
        <v>100</v>
      </c>
      <c r="X278" s="7">
        <f>100-(O$436-Tabell2[[#This Row],[Kvinneandel-T]])*100/O$439</f>
        <v>92.358688367140687</v>
      </c>
      <c r="Y278" s="7">
        <f>(P$436-Tabell2[[#This Row],[Eldreandel-T]])*100/P$439</f>
        <v>95.247195940621509</v>
      </c>
      <c r="Z278" s="7">
        <f>100-(Q$436-Tabell2[[#This Row],[Sysselsettingsvekst10-T]])*100/Q$439</f>
        <v>58.50021577354385</v>
      </c>
      <c r="AA278" s="7">
        <f>100-(R$436-Tabell2[[#This Row],[Yrkesaktivandel-T]])*100/R$439</f>
        <v>75.728349502509076</v>
      </c>
      <c r="AB278" s="7">
        <f>100-(S$436-Tabell2[[#This Row],[Inntekt-T]])*100/S$439</f>
        <v>87.949849082888321</v>
      </c>
      <c r="AC278" s="55">
        <f>Tabell2[[#This Row],[NIBR11-I]]*Vekter!$B$3</f>
        <v>14</v>
      </c>
      <c r="AD278" s="55">
        <f>Tabell2[[#This Row],[ReisetidOslo-I]]*Vekter!$C$3</f>
        <v>5.1512979890315753</v>
      </c>
      <c r="AE278" s="55">
        <f>Tabell2[[#This Row],[Beftettotal-I]]*Vekter!$D$3</f>
        <v>10</v>
      </c>
      <c r="AF278" s="55">
        <f>Tabell2[[#This Row],[Befvekst10-I]]*Vekter!$E$3</f>
        <v>20</v>
      </c>
      <c r="AG278" s="55">
        <f>Tabell2[[#This Row],[Kvinneandel-I]]*Vekter!$F$3</f>
        <v>4.6179344183570343</v>
      </c>
      <c r="AH278" s="55">
        <f>Tabell2[[#This Row],[Eldreandel-I]]*Vekter!$G$3</f>
        <v>4.7623597970310758</v>
      </c>
      <c r="AI278" s="55">
        <f>Tabell2[[#This Row],[Sysselsettingsvekst10-I]]*Vekter!$H$3</f>
        <v>5.8500215773543855</v>
      </c>
      <c r="AJ278" s="55">
        <f>Tabell2[[#This Row],[Yrkesaktivandel-I]]*Vekter!$J$3</f>
        <v>7.5728349502509076</v>
      </c>
      <c r="AK278" s="55">
        <f>Tabell2[[#This Row],[Inntekt-I]]*Vekter!$L$3</f>
        <v>8.7949849082888321</v>
      </c>
      <c r="AL278" s="56">
        <f>SUM(Tabell2[[#This Row],[NIBR11-v]:[Inntekt-v]])</f>
        <v>80.749433640313811</v>
      </c>
    </row>
    <row r="279" spans="1:38" x14ac:dyDescent="0.25">
      <c r="A279" s="2" t="s">
        <v>276</v>
      </c>
      <c r="B279">
        <f>'Rådata-K'!M278</f>
        <v>4</v>
      </c>
      <c r="C279" s="7">
        <f>'Rådata-K'!L278</f>
        <v>196.9333333333</v>
      </c>
      <c r="D279" s="34">
        <f>'Rådata-K'!N278</f>
        <v>34.923795665160455</v>
      </c>
      <c r="E279" s="34">
        <f>'Rådata-K'!O278</f>
        <v>4.6471600688468229E-2</v>
      </c>
      <c r="F279" s="34">
        <f>'Rådata-K'!P278</f>
        <v>0.10822368421052632</v>
      </c>
      <c r="G279" s="34">
        <f>'Rådata-K'!Q278</f>
        <v>0.16447368421052633</v>
      </c>
      <c r="H279" s="34">
        <f>'Rådata-K'!R278</f>
        <v>0.14215048164540489</v>
      </c>
      <c r="I279" s="34">
        <f>'Rådata-K'!S278</f>
        <v>0.91491022638563624</v>
      </c>
      <c r="J279" s="22">
        <f>'Rådata-K'!K278</f>
        <v>391200</v>
      </c>
      <c r="K279" s="22">
        <f>Tabell2[[#This Row],[NIBR11]]</f>
        <v>4</v>
      </c>
      <c r="L279" s="32">
        <f>IF(Tabell2[[#This Row],[ReisetidOslo]]&lt;=C$434,C$434,IF(Tabell2[[#This Row],[ReisetidOslo]]&gt;=C$435,C$435,Tabell2[[#This Row],[ReisetidOslo]]))</f>
        <v>196.9333333333</v>
      </c>
      <c r="M279" s="32">
        <f>IF(Tabell2[[#This Row],[Beftettotal]]&lt;=D$434,D$434,IF(Tabell2[[#This Row],[Beftettotal]]&gt;=D$435,D$435,Tabell2[[#This Row],[Beftettotal]]))</f>
        <v>34.923795665160455</v>
      </c>
      <c r="N279" s="34">
        <f>IF(Tabell2[[#This Row],[Befvekst10]]&lt;=E$434,E$434,IF(Tabell2[[#This Row],[Befvekst10]]&gt;=E$435,E$435,Tabell2[[#This Row],[Befvekst10]]))</f>
        <v>4.6471600688468229E-2</v>
      </c>
      <c r="O279" s="34">
        <f>IF(Tabell2[[#This Row],[Kvinneandel]]&lt;=F$434,F$434,IF(Tabell2[[#This Row],[Kvinneandel]]&gt;=F$435,F$435,Tabell2[[#This Row],[Kvinneandel]]))</f>
        <v>0.10822368421052632</v>
      </c>
      <c r="P279" s="34">
        <f>IF(Tabell2[[#This Row],[Eldreandel]]&lt;=G$434,G$434,IF(Tabell2[[#This Row],[Eldreandel]]&gt;=G$435,G$435,Tabell2[[#This Row],[Eldreandel]]))</f>
        <v>0.16447368421052633</v>
      </c>
      <c r="Q279" s="34">
        <f>IF(Tabell2[[#This Row],[Sysselsettingsvekst10]]&lt;=H$434,H$434,IF(Tabell2[[#This Row],[Sysselsettingsvekst10]]&gt;=H$435,H$435,Tabell2[[#This Row],[Sysselsettingsvekst10]]))</f>
        <v>0.14215048164540489</v>
      </c>
      <c r="R279" s="34">
        <f>IF(Tabell2[[#This Row],[Yrkesaktivandel]]&lt;=I$434,I$434,IF(Tabell2[[#This Row],[Yrkesaktivandel]]&gt;=I$435,I$435,Tabell2[[#This Row],[Yrkesaktivandel]]))</f>
        <v>0.91491022638563624</v>
      </c>
      <c r="S279" s="22">
        <f>IF(Tabell2[[#This Row],[Inntekt]]&lt;=J$434,J$434,IF(Tabell2[[#This Row],[Inntekt]]&gt;=J$435,J$435,Tabell2[[#This Row],[Inntekt]]))</f>
        <v>391200</v>
      </c>
      <c r="T279" s="22">
        <f>IF(Tabell2[[#This Row],[NIBR11-T]]&lt;=K$437,100,IF(Tabell2[[#This Row],[NIBR11-T]]&gt;=K$436,0,100*(K$436-Tabell2[[#This Row],[NIBR11-T]])/K$439))</f>
        <v>70</v>
      </c>
      <c r="U279" s="7">
        <f>IF(Tabell2[[#This Row],[ReisetidOslo-T]]&lt;=L$437,100,IF(Tabell2[[#This Row],[ReisetidOslo-T]]&gt;=L$436,0,100*(L$436-Tabell2[[#This Row],[ReisetidOslo-T]])/L$439))</f>
        <v>36.646435100569562</v>
      </c>
      <c r="V279" s="7">
        <f>100-(M$436-Tabell2[[#This Row],[Beftettotal-T]])*100/M$439</f>
        <v>25.987354982170814</v>
      </c>
      <c r="W279" s="7">
        <f>100-(N$436-Tabell2[[#This Row],[Befvekst10-T]])*100/N$439</f>
        <v>49.390523024770381</v>
      </c>
      <c r="X279" s="7">
        <f>100-(O$436-Tabell2[[#This Row],[Kvinneandel-T]])*100/O$439</f>
        <v>46.860410976384983</v>
      </c>
      <c r="Y279" s="7">
        <f>(P$436-Tabell2[[#This Row],[Eldreandel-T]])*100/P$439</f>
        <v>54.690342167940813</v>
      </c>
      <c r="Z279" s="7">
        <f>100-(Q$436-Tabell2[[#This Row],[Sysselsettingsvekst10-T]])*100/Q$439</f>
        <v>63.04414543660419</v>
      </c>
      <c r="AA279" s="7">
        <f>100-(R$436-Tabell2[[#This Row],[Yrkesaktivandel-T]])*100/R$439</f>
        <v>63.767804946447889</v>
      </c>
      <c r="AB279" s="7">
        <f>100-(S$436-Tabell2[[#This Row],[Inntekt-T]])*100/S$439</f>
        <v>69.143255166008828</v>
      </c>
      <c r="AC279" s="55">
        <f>Tabell2[[#This Row],[NIBR11-I]]*Vekter!$B$3</f>
        <v>14</v>
      </c>
      <c r="AD279" s="55">
        <f>Tabell2[[#This Row],[ReisetidOslo-I]]*Vekter!$C$3</f>
        <v>3.6646435100569565</v>
      </c>
      <c r="AE279" s="55">
        <f>Tabell2[[#This Row],[Beftettotal-I]]*Vekter!$D$3</f>
        <v>2.5987354982170814</v>
      </c>
      <c r="AF279" s="55">
        <f>Tabell2[[#This Row],[Befvekst10-I]]*Vekter!$E$3</f>
        <v>9.8781046049540766</v>
      </c>
      <c r="AG279" s="55">
        <f>Tabell2[[#This Row],[Kvinneandel-I]]*Vekter!$F$3</f>
        <v>2.3430205488192493</v>
      </c>
      <c r="AH279" s="55">
        <f>Tabell2[[#This Row],[Eldreandel-I]]*Vekter!$G$3</f>
        <v>2.734517108397041</v>
      </c>
      <c r="AI279" s="55">
        <f>Tabell2[[#This Row],[Sysselsettingsvekst10-I]]*Vekter!$H$3</f>
        <v>6.3044145436604193</v>
      </c>
      <c r="AJ279" s="55">
        <f>Tabell2[[#This Row],[Yrkesaktivandel-I]]*Vekter!$J$3</f>
        <v>6.3767804946447892</v>
      </c>
      <c r="AK279" s="55">
        <f>Tabell2[[#This Row],[Inntekt-I]]*Vekter!$L$3</f>
        <v>6.9143255166008828</v>
      </c>
      <c r="AL279" s="56">
        <f>SUM(Tabell2[[#This Row],[NIBR11-v]:[Inntekt-v]])</f>
        <v>54.814541825350496</v>
      </c>
    </row>
    <row r="280" spans="1:38" x14ac:dyDescent="0.25">
      <c r="A280" s="2" t="s">
        <v>277</v>
      </c>
      <c r="B280">
        <f>'Rådata-K'!M279</f>
        <v>4</v>
      </c>
      <c r="C280" s="7">
        <f>'Rådata-K'!L279</f>
        <v>204.3</v>
      </c>
      <c r="D280" s="34">
        <f>'Rådata-K'!N279</f>
        <v>19.057901017103244</v>
      </c>
      <c r="E280" s="34">
        <f>'Rådata-K'!O279</f>
        <v>4.9765258215962449E-2</v>
      </c>
      <c r="F280" s="34">
        <f>'Rådata-K'!P279</f>
        <v>0.10793082886106142</v>
      </c>
      <c r="G280" s="34">
        <f>'Rådata-K'!Q279</f>
        <v>0.16040548598688134</v>
      </c>
      <c r="H280" s="34">
        <f>'Rådata-K'!R279</f>
        <v>6.4838829195998482E-2</v>
      </c>
      <c r="I280" s="34">
        <f>'Rådata-K'!S279</f>
        <v>0.85073866530820175</v>
      </c>
      <c r="J280" s="22">
        <f>'Rådata-K'!K279</f>
        <v>366700</v>
      </c>
      <c r="K280" s="22">
        <f>Tabell2[[#This Row],[NIBR11]]</f>
        <v>4</v>
      </c>
      <c r="L280" s="32">
        <f>IF(Tabell2[[#This Row],[ReisetidOslo]]&lt;=C$434,C$434,IF(Tabell2[[#This Row],[ReisetidOslo]]&gt;=C$435,C$435,Tabell2[[#This Row],[ReisetidOslo]]))</f>
        <v>204.3</v>
      </c>
      <c r="M280" s="32">
        <f>IF(Tabell2[[#This Row],[Beftettotal]]&lt;=D$434,D$434,IF(Tabell2[[#This Row],[Beftettotal]]&gt;=D$435,D$435,Tabell2[[#This Row],[Beftettotal]]))</f>
        <v>19.057901017103244</v>
      </c>
      <c r="N280" s="34">
        <f>IF(Tabell2[[#This Row],[Befvekst10]]&lt;=E$434,E$434,IF(Tabell2[[#This Row],[Befvekst10]]&gt;=E$435,E$435,Tabell2[[#This Row],[Befvekst10]]))</f>
        <v>4.9765258215962449E-2</v>
      </c>
      <c r="O280" s="34">
        <f>IF(Tabell2[[#This Row],[Kvinneandel]]&lt;=F$434,F$434,IF(Tabell2[[#This Row],[Kvinneandel]]&gt;=F$435,F$435,Tabell2[[#This Row],[Kvinneandel]]))</f>
        <v>0.10793082886106142</v>
      </c>
      <c r="P280" s="34">
        <f>IF(Tabell2[[#This Row],[Eldreandel]]&lt;=G$434,G$434,IF(Tabell2[[#This Row],[Eldreandel]]&gt;=G$435,G$435,Tabell2[[#This Row],[Eldreandel]]))</f>
        <v>0.16040548598688134</v>
      </c>
      <c r="Q280" s="34">
        <f>IF(Tabell2[[#This Row],[Sysselsettingsvekst10]]&lt;=H$434,H$434,IF(Tabell2[[#This Row],[Sysselsettingsvekst10]]&gt;=H$435,H$435,Tabell2[[#This Row],[Sysselsettingsvekst10]]))</f>
        <v>6.4838829195998482E-2</v>
      </c>
      <c r="R280" s="34">
        <f>IF(Tabell2[[#This Row],[Yrkesaktivandel]]&lt;=I$434,I$434,IF(Tabell2[[#This Row],[Yrkesaktivandel]]&gt;=I$435,I$435,Tabell2[[#This Row],[Yrkesaktivandel]]))</f>
        <v>0.85073866530820175</v>
      </c>
      <c r="S280" s="22">
        <f>IF(Tabell2[[#This Row],[Inntekt]]&lt;=J$434,J$434,IF(Tabell2[[#This Row],[Inntekt]]&gt;=J$435,J$435,Tabell2[[#This Row],[Inntekt]]))</f>
        <v>366700</v>
      </c>
      <c r="T280" s="22">
        <f>IF(Tabell2[[#This Row],[NIBR11-T]]&lt;=K$437,100,IF(Tabell2[[#This Row],[NIBR11-T]]&gt;=K$436,0,100*(K$436-Tabell2[[#This Row],[NIBR11-T]])/K$439))</f>
        <v>70</v>
      </c>
      <c r="U280" s="7">
        <f>IF(Tabell2[[#This Row],[ReisetidOslo-T]]&lt;=L$437,100,IF(Tabell2[[#This Row],[ReisetidOslo-T]]&gt;=L$436,0,100*(L$436-Tabell2[[#This Row],[ReisetidOslo-T]])/L$439))</f>
        <v>33.414259597813029</v>
      </c>
      <c r="V280" s="7">
        <f>100-(M$436-Tabell2[[#This Row],[Beftettotal-T]])*100/M$439</f>
        <v>13.713962489464933</v>
      </c>
      <c r="W280" s="7">
        <f>100-(N$436-Tabell2[[#This Row],[Befvekst10-T]])*100/N$439</f>
        <v>50.716669942389245</v>
      </c>
      <c r="X280" s="7">
        <f>100-(O$436-Tabell2[[#This Row],[Kvinneandel-T]])*100/O$439</f>
        <v>46.086546142237154</v>
      </c>
      <c r="Y280" s="7">
        <f>(P$436-Tabell2[[#This Row],[Eldreandel-T]])*100/P$439</f>
        <v>59.148078257197206</v>
      </c>
      <c r="Z280" s="7">
        <f>100-(Q$436-Tabell2[[#This Row],[Sysselsettingsvekst10-T]])*100/Q$439</f>
        <v>40.040766424999191</v>
      </c>
      <c r="AA280" s="7">
        <f>100-(R$436-Tabell2[[#This Row],[Yrkesaktivandel-T]])*100/R$439</f>
        <v>14.426821131441685</v>
      </c>
      <c r="AB280" s="7">
        <f>100-(S$436-Tabell2[[#This Row],[Inntekt-T]])*100/S$439</f>
        <v>40.701184118876249</v>
      </c>
      <c r="AC280" s="55">
        <f>Tabell2[[#This Row],[NIBR11-I]]*Vekter!$B$3</f>
        <v>14</v>
      </c>
      <c r="AD280" s="55">
        <f>Tabell2[[#This Row],[ReisetidOslo-I]]*Vekter!$C$3</f>
        <v>3.341425959781303</v>
      </c>
      <c r="AE280" s="55">
        <f>Tabell2[[#This Row],[Beftettotal-I]]*Vekter!$D$3</f>
        <v>1.3713962489464935</v>
      </c>
      <c r="AF280" s="55">
        <f>Tabell2[[#This Row],[Befvekst10-I]]*Vekter!$E$3</f>
        <v>10.143333988477849</v>
      </c>
      <c r="AG280" s="55">
        <f>Tabell2[[#This Row],[Kvinneandel-I]]*Vekter!$F$3</f>
        <v>2.304327307111858</v>
      </c>
      <c r="AH280" s="55">
        <f>Tabell2[[#This Row],[Eldreandel-I]]*Vekter!$G$3</f>
        <v>2.9574039128598604</v>
      </c>
      <c r="AI280" s="55">
        <f>Tabell2[[#This Row],[Sysselsettingsvekst10-I]]*Vekter!$H$3</f>
        <v>4.0040766424999195</v>
      </c>
      <c r="AJ280" s="55">
        <f>Tabell2[[#This Row],[Yrkesaktivandel-I]]*Vekter!$J$3</f>
        <v>1.4426821131441685</v>
      </c>
      <c r="AK280" s="55">
        <f>Tabell2[[#This Row],[Inntekt-I]]*Vekter!$L$3</f>
        <v>4.0701184118876252</v>
      </c>
      <c r="AL280" s="56">
        <f>SUM(Tabell2[[#This Row],[NIBR11-v]:[Inntekt-v]])</f>
        <v>43.634764584709075</v>
      </c>
    </row>
    <row r="281" spans="1:38" x14ac:dyDescent="0.25">
      <c r="A281" s="2" t="s">
        <v>278</v>
      </c>
      <c r="B281">
        <f>'Rådata-K'!M280</f>
        <v>5</v>
      </c>
      <c r="C281" s="7">
        <f>'Rådata-K'!L280</f>
        <v>203.11666666669998</v>
      </c>
      <c r="D281" s="34">
        <f>'Rådata-K'!N280</f>
        <v>4.9562623989774588</v>
      </c>
      <c r="E281" s="34">
        <f>'Rådata-K'!O280</f>
        <v>1.4858233369683838E-2</v>
      </c>
      <c r="F281" s="34">
        <f>'Rådata-K'!P280</f>
        <v>0.10167897918065816</v>
      </c>
      <c r="G281" s="34">
        <f>'Rådata-K'!Q280</f>
        <v>0.18388179986568168</v>
      </c>
      <c r="H281" s="34">
        <f>'Rådata-K'!R280</f>
        <v>7.8271381081897795E-2</v>
      </c>
      <c r="I281" s="34">
        <f>'Rådata-K'!S280</f>
        <v>0.94596577017114913</v>
      </c>
      <c r="J281" s="22">
        <f>'Rådata-K'!K280</f>
        <v>370100</v>
      </c>
      <c r="K281" s="22">
        <f>Tabell2[[#This Row],[NIBR11]]</f>
        <v>5</v>
      </c>
      <c r="L281" s="32">
        <f>IF(Tabell2[[#This Row],[ReisetidOslo]]&lt;=C$434,C$434,IF(Tabell2[[#This Row],[ReisetidOslo]]&gt;=C$435,C$435,Tabell2[[#This Row],[ReisetidOslo]]))</f>
        <v>203.11666666669998</v>
      </c>
      <c r="M281" s="32">
        <f>IF(Tabell2[[#This Row],[Beftettotal]]&lt;=D$434,D$434,IF(Tabell2[[#This Row],[Beftettotal]]&gt;=D$435,D$435,Tabell2[[#This Row],[Beftettotal]]))</f>
        <v>4.9562623989774588</v>
      </c>
      <c r="N281" s="34">
        <f>IF(Tabell2[[#This Row],[Befvekst10]]&lt;=E$434,E$434,IF(Tabell2[[#This Row],[Befvekst10]]&gt;=E$435,E$435,Tabell2[[#This Row],[Befvekst10]]))</f>
        <v>1.4858233369683838E-2</v>
      </c>
      <c r="O281" s="34">
        <f>IF(Tabell2[[#This Row],[Kvinneandel]]&lt;=F$434,F$434,IF(Tabell2[[#This Row],[Kvinneandel]]&gt;=F$435,F$435,Tabell2[[#This Row],[Kvinneandel]]))</f>
        <v>0.10167897918065816</v>
      </c>
      <c r="P281" s="34">
        <f>IF(Tabell2[[#This Row],[Eldreandel]]&lt;=G$434,G$434,IF(Tabell2[[#This Row],[Eldreandel]]&gt;=G$435,G$435,Tabell2[[#This Row],[Eldreandel]]))</f>
        <v>0.18388179986568168</v>
      </c>
      <c r="Q281" s="34">
        <f>IF(Tabell2[[#This Row],[Sysselsettingsvekst10]]&lt;=H$434,H$434,IF(Tabell2[[#This Row],[Sysselsettingsvekst10]]&gt;=H$435,H$435,Tabell2[[#This Row],[Sysselsettingsvekst10]]))</f>
        <v>7.8271381081897795E-2</v>
      </c>
      <c r="R281" s="34">
        <f>IF(Tabell2[[#This Row],[Yrkesaktivandel]]&lt;=I$434,I$434,IF(Tabell2[[#This Row],[Yrkesaktivandel]]&gt;=I$435,I$435,Tabell2[[#This Row],[Yrkesaktivandel]]))</f>
        <v>0.94596577017114913</v>
      </c>
      <c r="S281" s="22">
        <f>IF(Tabell2[[#This Row],[Inntekt]]&lt;=J$434,J$434,IF(Tabell2[[#This Row],[Inntekt]]&gt;=J$435,J$435,Tabell2[[#This Row],[Inntekt]]))</f>
        <v>370100</v>
      </c>
      <c r="T281" s="22">
        <f>IF(Tabell2[[#This Row],[NIBR11-T]]&lt;=K$437,100,IF(Tabell2[[#This Row],[NIBR11-T]]&gt;=K$436,0,100*(K$436-Tabell2[[#This Row],[NIBR11-T]])/K$439))</f>
        <v>60</v>
      </c>
      <c r="U281" s="7">
        <f>IF(Tabell2[[#This Row],[ReisetidOslo-T]]&lt;=L$437,100,IF(Tabell2[[#This Row],[ReisetidOslo-T]]&gt;=L$436,0,100*(L$436-Tabell2[[#This Row],[ReisetidOslo-T]])/L$439))</f>
        <v>33.933455210229809</v>
      </c>
      <c r="V281" s="7">
        <f>100-(M$436-Tabell2[[#This Row],[Beftettotal-T]])*100/M$439</f>
        <v>2.8053469093312771</v>
      </c>
      <c r="W281" s="7">
        <f>100-(N$436-Tabell2[[#This Row],[Befvekst10-T]])*100/N$439</f>
        <v>36.661825740552764</v>
      </c>
      <c r="X281" s="7">
        <f>100-(O$436-Tabell2[[#This Row],[Kvinneandel-T]])*100/O$439</f>
        <v>29.566149212891148</v>
      </c>
      <c r="Y281" s="7">
        <f>(P$436-Tabell2[[#This Row],[Eldreandel-T]])*100/P$439</f>
        <v>33.423861818580654</v>
      </c>
      <c r="Z281" s="7">
        <f>100-(Q$436-Tabell2[[#This Row],[Sysselsettingsvekst10-T]])*100/Q$439</f>
        <v>44.037500065204341</v>
      </c>
      <c r="AA281" s="7">
        <f>100-(R$436-Tabell2[[#This Row],[Yrkesaktivandel-T]])*100/R$439</f>
        <v>87.646156315182708</v>
      </c>
      <c r="AB281" s="7">
        <f>100-(S$436-Tabell2[[#This Row],[Inntekt-T]])*100/S$439</f>
        <v>44.64824703970281</v>
      </c>
      <c r="AC281" s="55">
        <f>Tabell2[[#This Row],[NIBR11-I]]*Vekter!$B$3</f>
        <v>12</v>
      </c>
      <c r="AD281" s="55">
        <f>Tabell2[[#This Row],[ReisetidOslo-I]]*Vekter!$C$3</f>
        <v>3.3933455210229813</v>
      </c>
      <c r="AE281" s="55">
        <f>Tabell2[[#This Row],[Beftettotal-I]]*Vekter!$D$3</f>
        <v>0.28053469093312772</v>
      </c>
      <c r="AF281" s="55">
        <f>Tabell2[[#This Row],[Befvekst10-I]]*Vekter!$E$3</f>
        <v>7.3323651481105534</v>
      </c>
      <c r="AG281" s="55">
        <f>Tabell2[[#This Row],[Kvinneandel-I]]*Vekter!$F$3</f>
        <v>1.4783074606445574</v>
      </c>
      <c r="AH281" s="55">
        <f>Tabell2[[#This Row],[Eldreandel-I]]*Vekter!$G$3</f>
        <v>1.6711930909290329</v>
      </c>
      <c r="AI281" s="55">
        <f>Tabell2[[#This Row],[Sysselsettingsvekst10-I]]*Vekter!$H$3</f>
        <v>4.4037500065204345</v>
      </c>
      <c r="AJ281" s="55">
        <f>Tabell2[[#This Row],[Yrkesaktivandel-I]]*Vekter!$J$3</f>
        <v>8.7646156315182715</v>
      </c>
      <c r="AK281" s="55">
        <f>Tabell2[[#This Row],[Inntekt-I]]*Vekter!$L$3</f>
        <v>4.4648247039702813</v>
      </c>
      <c r="AL281" s="56">
        <f>SUM(Tabell2[[#This Row],[NIBR11-v]:[Inntekt-v]])</f>
        <v>43.78893625364924</v>
      </c>
    </row>
    <row r="282" spans="1:38" x14ac:dyDescent="0.25">
      <c r="A282" s="2" t="s">
        <v>279</v>
      </c>
      <c r="B282">
        <f>'Rådata-K'!M281</f>
        <v>4</v>
      </c>
      <c r="C282" s="7">
        <f>'Rådata-K'!L281</f>
        <v>191.51666666669999</v>
      </c>
      <c r="D282" s="34">
        <f>'Rådata-K'!N281</f>
        <v>2.8439507494646681</v>
      </c>
      <c r="E282" s="34">
        <f>'Rådata-K'!O281</f>
        <v>-6.4759509588179776E-2</v>
      </c>
      <c r="F282" s="34">
        <f>'Rådata-K'!P281</f>
        <v>9.9159663865546213E-2</v>
      </c>
      <c r="G282" s="34">
        <f>'Rådata-K'!Q281</f>
        <v>0.18890756302521008</v>
      </c>
      <c r="H282" s="34">
        <f>'Rådata-K'!R281</f>
        <v>-0.25714285714285712</v>
      </c>
      <c r="I282" s="34">
        <f>'Rådata-K'!S281</f>
        <v>0.92335115864527628</v>
      </c>
      <c r="J282" s="22">
        <f>'Rådata-K'!K281</f>
        <v>362200</v>
      </c>
      <c r="K282" s="22">
        <f>Tabell2[[#This Row],[NIBR11]]</f>
        <v>4</v>
      </c>
      <c r="L282" s="32">
        <f>IF(Tabell2[[#This Row],[ReisetidOslo]]&lt;=C$434,C$434,IF(Tabell2[[#This Row],[ReisetidOslo]]&gt;=C$435,C$435,Tabell2[[#This Row],[ReisetidOslo]]))</f>
        <v>191.51666666669999</v>
      </c>
      <c r="M282" s="32">
        <f>IF(Tabell2[[#This Row],[Beftettotal]]&lt;=D$434,D$434,IF(Tabell2[[#This Row],[Beftettotal]]&gt;=D$435,D$435,Tabell2[[#This Row],[Beftettotal]]))</f>
        <v>2.8439507494646681</v>
      </c>
      <c r="N282" s="34">
        <f>IF(Tabell2[[#This Row],[Befvekst10]]&lt;=E$434,E$434,IF(Tabell2[[#This Row],[Befvekst10]]&gt;=E$435,E$435,Tabell2[[#This Row],[Befvekst10]]))</f>
        <v>-6.4759509588179776E-2</v>
      </c>
      <c r="O282" s="34">
        <f>IF(Tabell2[[#This Row],[Kvinneandel]]&lt;=F$434,F$434,IF(Tabell2[[#This Row],[Kvinneandel]]&gt;=F$435,F$435,Tabell2[[#This Row],[Kvinneandel]]))</f>
        <v>9.9159663865546213E-2</v>
      </c>
      <c r="P282" s="34">
        <f>IF(Tabell2[[#This Row],[Eldreandel]]&lt;=G$434,G$434,IF(Tabell2[[#This Row],[Eldreandel]]&gt;=G$435,G$435,Tabell2[[#This Row],[Eldreandel]]))</f>
        <v>0.18890756302521008</v>
      </c>
      <c r="Q282" s="34">
        <f>IF(Tabell2[[#This Row],[Sysselsettingsvekst10]]&lt;=H$434,H$434,IF(Tabell2[[#This Row],[Sysselsettingsvekst10]]&gt;=H$435,H$435,Tabell2[[#This Row],[Sysselsettingsvekst10]]))</f>
        <v>-6.9733479337269061E-2</v>
      </c>
      <c r="R282" s="34">
        <f>IF(Tabell2[[#This Row],[Yrkesaktivandel]]&lt;=I$434,I$434,IF(Tabell2[[#This Row],[Yrkesaktivandel]]&gt;=I$435,I$435,Tabell2[[#This Row],[Yrkesaktivandel]]))</f>
        <v>0.92335115864527628</v>
      </c>
      <c r="S282" s="22">
        <f>IF(Tabell2[[#This Row],[Inntekt]]&lt;=J$434,J$434,IF(Tabell2[[#This Row],[Inntekt]]&gt;=J$435,J$435,Tabell2[[#This Row],[Inntekt]]))</f>
        <v>362200</v>
      </c>
      <c r="T282" s="22">
        <f>IF(Tabell2[[#This Row],[NIBR11-T]]&lt;=K$437,100,IF(Tabell2[[#This Row],[NIBR11-T]]&gt;=K$436,0,100*(K$436-Tabell2[[#This Row],[NIBR11-T]])/K$439))</f>
        <v>70</v>
      </c>
      <c r="U282" s="7">
        <f>IF(Tabell2[[#This Row],[ReisetidOslo-T]]&lt;=L$437,100,IF(Tabell2[[#This Row],[ReisetidOslo-T]]&gt;=L$436,0,100*(L$436-Tabell2[[#This Row],[ReisetidOslo-T]])/L$439))</f>
        <v>39.023034734909352</v>
      </c>
      <c r="V282" s="7">
        <f>100-(M$436-Tabell2[[#This Row],[Beftettotal-T]])*100/M$439</f>
        <v>1.1713243397587405</v>
      </c>
      <c r="W282" s="7">
        <f>100-(N$436-Tabell2[[#This Row],[Befvekst10-T]])*100/N$439</f>
        <v>4.6048120620028357</v>
      </c>
      <c r="X282" s="7">
        <f>100-(O$436-Tabell2[[#This Row],[Kvinneandel-T]])*100/O$439</f>
        <v>22.908905177371551</v>
      </c>
      <c r="Y282" s="7">
        <f>(P$436-Tabell2[[#This Row],[Eldreandel-T]])*100/P$439</f>
        <v>27.916872094709205</v>
      </c>
      <c r="Z282" s="7">
        <f>100-(Q$436-Tabell2[[#This Row],[Sysselsettingsvekst10-T]])*100/Q$439</f>
        <v>0</v>
      </c>
      <c r="AA282" s="7">
        <f>100-(R$436-Tabell2[[#This Row],[Yrkesaktivandel-T]])*100/R$439</f>
        <v>70.257968112400803</v>
      </c>
      <c r="AB282" s="7">
        <f>100-(S$436-Tabell2[[#This Row],[Inntekt-T]])*100/S$439</f>
        <v>35.477130253076382</v>
      </c>
      <c r="AC282" s="55">
        <f>Tabell2[[#This Row],[NIBR11-I]]*Vekter!$B$3</f>
        <v>14</v>
      </c>
      <c r="AD282" s="55">
        <f>Tabell2[[#This Row],[ReisetidOslo-I]]*Vekter!$C$3</f>
        <v>3.9023034734909352</v>
      </c>
      <c r="AE282" s="55">
        <f>Tabell2[[#This Row],[Beftettotal-I]]*Vekter!$D$3</f>
        <v>0.11713243397587406</v>
      </c>
      <c r="AF282" s="55">
        <f>Tabell2[[#This Row],[Befvekst10-I]]*Vekter!$E$3</f>
        <v>0.9209624124005672</v>
      </c>
      <c r="AG282" s="55">
        <f>Tabell2[[#This Row],[Kvinneandel-I]]*Vekter!$F$3</f>
        <v>1.1454452588685775</v>
      </c>
      <c r="AH282" s="55">
        <f>Tabell2[[#This Row],[Eldreandel-I]]*Vekter!$G$3</f>
        <v>1.3958436047354603</v>
      </c>
      <c r="AI282" s="55">
        <f>Tabell2[[#This Row],[Sysselsettingsvekst10-I]]*Vekter!$H$3</f>
        <v>0</v>
      </c>
      <c r="AJ282" s="55">
        <f>Tabell2[[#This Row],[Yrkesaktivandel-I]]*Vekter!$J$3</f>
        <v>7.025796811240081</v>
      </c>
      <c r="AK282" s="55">
        <f>Tabell2[[#This Row],[Inntekt-I]]*Vekter!$L$3</f>
        <v>3.5477130253076385</v>
      </c>
      <c r="AL282" s="56">
        <f>SUM(Tabell2[[#This Row],[NIBR11-v]:[Inntekt-v]])</f>
        <v>32.055197020019136</v>
      </c>
    </row>
    <row r="283" spans="1:38" x14ac:dyDescent="0.25">
      <c r="A283" s="2" t="s">
        <v>280</v>
      </c>
      <c r="B283">
        <f>'Rådata-K'!M282</f>
        <v>4</v>
      </c>
      <c r="C283" s="7">
        <f>'Rådata-K'!L282</f>
        <v>189.4166666667</v>
      </c>
      <c r="D283" s="34">
        <f>'Rådata-K'!N282</f>
        <v>21.84891706286318</v>
      </c>
      <c r="E283" s="34">
        <f>'Rådata-K'!O282</f>
        <v>6.6529138731304727E-2</v>
      </c>
      <c r="F283" s="34">
        <f>'Rådata-K'!P282</f>
        <v>9.719535783365571E-2</v>
      </c>
      <c r="G283" s="34">
        <f>'Rådata-K'!Q282</f>
        <v>0.18036750483558994</v>
      </c>
      <c r="H283" s="34">
        <f>'Rådata-K'!R282</f>
        <v>0.16184210526315779</v>
      </c>
      <c r="I283" s="34">
        <f>'Rådata-K'!S282</f>
        <v>0.94639556377079481</v>
      </c>
      <c r="J283" s="22">
        <f>'Rådata-K'!K282</f>
        <v>387900</v>
      </c>
      <c r="K283" s="22">
        <f>Tabell2[[#This Row],[NIBR11]]</f>
        <v>4</v>
      </c>
      <c r="L283" s="32">
        <f>IF(Tabell2[[#This Row],[ReisetidOslo]]&lt;=C$434,C$434,IF(Tabell2[[#This Row],[ReisetidOslo]]&gt;=C$435,C$435,Tabell2[[#This Row],[ReisetidOslo]]))</f>
        <v>189.4166666667</v>
      </c>
      <c r="M283" s="32">
        <f>IF(Tabell2[[#This Row],[Beftettotal]]&lt;=D$434,D$434,IF(Tabell2[[#This Row],[Beftettotal]]&gt;=D$435,D$435,Tabell2[[#This Row],[Beftettotal]]))</f>
        <v>21.84891706286318</v>
      </c>
      <c r="N283" s="34">
        <f>IF(Tabell2[[#This Row],[Befvekst10]]&lt;=E$434,E$434,IF(Tabell2[[#This Row],[Befvekst10]]&gt;=E$435,E$435,Tabell2[[#This Row],[Befvekst10]]))</f>
        <v>6.6529138731304727E-2</v>
      </c>
      <c r="O283" s="34">
        <f>IF(Tabell2[[#This Row],[Kvinneandel]]&lt;=F$434,F$434,IF(Tabell2[[#This Row],[Kvinneandel]]&gt;=F$435,F$435,Tabell2[[#This Row],[Kvinneandel]]))</f>
        <v>9.719535783365571E-2</v>
      </c>
      <c r="P283" s="34">
        <f>IF(Tabell2[[#This Row],[Eldreandel]]&lt;=G$434,G$434,IF(Tabell2[[#This Row],[Eldreandel]]&gt;=G$435,G$435,Tabell2[[#This Row],[Eldreandel]]))</f>
        <v>0.18036750483558994</v>
      </c>
      <c r="Q283" s="34">
        <f>IF(Tabell2[[#This Row],[Sysselsettingsvekst10]]&lt;=H$434,H$434,IF(Tabell2[[#This Row],[Sysselsettingsvekst10]]&gt;=H$435,H$435,Tabell2[[#This Row],[Sysselsettingsvekst10]]))</f>
        <v>0.16184210526315779</v>
      </c>
      <c r="R283" s="34">
        <f>IF(Tabell2[[#This Row],[Yrkesaktivandel]]&lt;=I$434,I$434,IF(Tabell2[[#This Row],[Yrkesaktivandel]]&gt;=I$435,I$435,Tabell2[[#This Row],[Yrkesaktivandel]]))</f>
        <v>0.94639556377079481</v>
      </c>
      <c r="S283" s="22">
        <f>IF(Tabell2[[#This Row],[Inntekt]]&lt;=J$434,J$434,IF(Tabell2[[#This Row],[Inntekt]]&gt;=J$435,J$435,Tabell2[[#This Row],[Inntekt]]))</f>
        <v>387900</v>
      </c>
      <c r="T283" s="22">
        <f>IF(Tabell2[[#This Row],[NIBR11-T]]&lt;=K$437,100,IF(Tabell2[[#This Row],[NIBR11-T]]&gt;=K$436,0,100*(K$436-Tabell2[[#This Row],[NIBR11-T]])/K$439))</f>
        <v>70</v>
      </c>
      <c r="U283" s="7">
        <f>IF(Tabell2[[#This Row],[ReisetidOslo-T]]&lt;=L$437,100,IF(Tabell2[[#This Row],[ReisetidOslo-T]]&gt;=L$436,0,100*(L$436-Tabell2[[#This Row],[ReisetidOslo-T]])/L$439))</f>
        <v>39.944424131618582</v>
      </c>
      <c r="V283" s="7">
        <f>100-(M$436-Tabell2[[#This Row],[Beftettotal-T]])*100/M$439</f>
        <v>15.873010947992682</v>
      </c>
      <c r="W283" s="7">
        <f>100-(N$436-Tabell2[[#This Row],[Befvekst10-T]])*100/N$439</f>
        <v>57.466421028278653</v>
      </c>
      <c r="X283" s="7">
        <f>100-(O$436-Tabell2[[#This Row],[Kvinneandel-T]])*100/O$439</f>
        <v>17.718262888056856</v>
      </c>
      <c r="Y283" s="7">
        <f>(P$436-Tabell2[[#This Row],[Eldreandel-T]])*100/P$439</f>
        <v>37.274657409828471</v>
      </c>
      <c r="Z283" s="7">
        <f>100-(Q$436-Tabell2[[#This Row],[Sysselsettingsvekst10-T]])*100/Q$439</f>
        <v>68.903208942321811</v>
      </c>
      <c r="AA283" s="7">
        <f>100-(R$436-Tabell2[[#This Row],[Yrkesaktivandel-T]])*100/R$439</f>
        <v>87.976621067603517</v>
      </c>
      <c r="AB283" s="7">
        <f>100-(S$436-Tabell2[[#This Row],[Inntekt-T]])*100/S$439</f>
        <v>65.312282331088923</v>
      </c>
      <c r="AC283" s="55">
        <f>Tabell2[[#This Row],[NIBR11-I]]*Vekter!$B$3</f>
        <v>14</v>
      </c>
      <c r="AD283" s="55">
        <f>Tabell2[[#This Row],[ReisetidOslo-I]]*Vekter!$C$3</f>
        <v>3.9944424131618583</v>
      </c>
      <c r="AE283" s="55">
        <f>Tabell2[[#This Row],[Beftettotal-I]]*Vekter!$D$3</f>
        <v>1.5873010947992683</v>
      </c>
      <c r="AF283" s="55">
        <f>Tabell2[[#This Row],[Befvekst10-I]]*Vekter!$E$3</f>
        <v>11.493284205655732</v>
      </c>
      <c r="AG283" s="55">
        <f>Tabell2[[#This Row],[Kvinneandel-I]]*Vekter!$F$3</f>
        <v>0.88591314440284286</v>
      </c>
      <c r="AH283" s="55">
        <f>Tabell2[[#This Row],[Eldreandel-I]]*Vekter!$G$3</f>
        <v>1.8637328704914236</v>
      </c>
      <c r="AI283" s="55">
        <f>Tabell2[[#This Row],[Sysselsettingsvekst10-I]]*Vekter!$H$3</f>
        <v>6.8903208942321816</v>
      </c>
      <c r="AJ283" s="55">
        <f>Tabell2[[#This Row],[Yrkesaktivandel-I]]*Vekter!$J$3</f>
        <v>8.7976621067603524</v>
      </c>
      <c r="AK283" s="55">
        <f>Tabell2[[#This Row],[Inntekt-I]]*Vekter!$L$3</f>
        <v>6.5312282331088927</v>
      </c>
      <c r="AL283" s="56">
        <f>SUM(Tabell2[[#This Row],[NIBR11-v]:[Inntekt-v]])</f>
        <v>56.043884962612552</v>
      </c>
    </row>
    <row r="284" spans="1:38" x14ac:dyDescent="0.25">
      <c r="A284" s="2" t="s">
        <v>281</v>
      </c>
      <c r="B284">
        <f>'Rådata-K'!M283</f>
        <v>11</v>
      </c>
      <c r="C284" s="7">
        <f>'Rådata-K'!L283</f>
        <v>253.216666667</v>
      </c>
      <c r="D284" s="34">
        <f>'Rådata-K'!N283</f>
        <v>58.889407372841809</v>
      </c>
      <c r="E284" s="34">
        <f>'Rådata-K'!O283</f>
        <v>-9.4191522762950841E-3</v>
      </c>
      <c r="F284" s="34">
        <f>'Rådata-K'!P283</f>
        <v>8.7163232963549928E-2</v>
      </c>
      <c r="G284" s="34">
        <f>'Rådata-K'!Q283</f>
        <v>0.19017432646592711</v>
      </c>
      <c r="H284" s="34">
        <f>'Rådata-K'!R283</f>
        <v>4.0584415584415501E-2</v>
      </c>
      <c r="I284" s="34">
        <f>'Rådata-K'!S283</f>
        <v>0.96602658788773998</v>
      </c>
      <c r="J284" s="22">
        <f>'Rådata-K'!K283</f>
        <v>435300</v>
      </c>
      <c r="K284" s="22">
        <f>Tabell2[[#This Row],[NIBR11]]</f>
        <v>11</v>
      </c>
      <c r="L284" s="32">
        <f>IF(Tabell2[[#This Row],[ReisetidOslo]]&lt;=C$434,C$434,IF(Tabell2[[#This Row],[ReisetidOslo]]&gt;=C$435,C$435,Tabell2[[#This Row],[ReisetidOslo]]))</f>
        <v>253.216666667</v>
      </c>
      <c r="M284" s="32">
        <f>IF(Tabell2[[#This Row],[Beftettotal]]&lt;=D$434,D$434,IF(Tabell2[[#This Row],[Beftettotal]]&gt;=D$435,D$435,Tabell2[[#This Row],[Beftettotal]]))</f>
        <v>58.889407372841809</v>
      </c>
      <c r="N284" s="34">
        <f>IF(Tabell2[[#This Row],[Befvekst10]]&lt;=E$434,E$434,IF(Tabell2[[#This Row],[Befvekst10]]&gt;=E$435,E$435,Tabell2[[#This Row],[Befvekst10]]))</f>
        <v>-9.4191522762950841E-3</v>
      </c>
      <c r="O284" s="34">
        <f>IF(Tabell2[[#This Row],[Kvinneandel]]&lt;=F$434,F$434,IF(Tabell2[[#This Row],[Kvinneandel]]&gt;=F$435,F$435,Tabell2[[#This Row],[Kvinneandel]]))</f>
        <v>9.0490197137593403E-2</v>
      </c>
      <c r="P284" s="34">
        <f>IF(Tabell2[[#This Row],[Eldreandel]]&lt;=G$434,G$434,IF(Tabell2[[#This Row],[Eldreandel]]&gt;=G$435,G$435,Tabell2[[#This Row],[Eldreandel]]))</f>
        <v>0.19017432646592711</v>
      </c>
      <c r="Q284" s="34">
        <f>IF(Tabell2[[#This Row],[Sysselsettingsvekst10]]&lt;=H$434,H$434,IF(Tabell2[[#This Row],[Sysselsettingsvekst10]]&gt;=H$435,H$435,Tabell2[[#This Row],[Sysselsettingsvekst10]]))</f>
        <v>4.0584415584415501E-2</v>
      </c>
      <c r="R284" s="34">
        <f>IF(Tabell2[[#This Row],[Yrkesaktivandel]]&lt;=I$434,I$434,IF(Tabell2[[#This Row],[Yrkesaktivandel]]&gt;=I$435,I$435,Tabell2[[#This Row],[Yrkesaktivandel]]))</f>
        <v>0.96203284815106216</v>
      </c>
      <c r="S284" s="22">
        <f>IF(Tabell2[[#This Row],[Inntekt]]&lt;=J$434,J$434,IF(Tabell2[[#This Row],[Inntekt]]&gt;=J$435,J$435,Tabell2[[#This Row],[Inntekt]]))</f>
        <v>417780</v>
      </c>
      <c r="T284" s="22">
        <f>IF(Tabell2[[#This Row],[NIBR11-T]]&lt;=K$437,100,IF(Tabell2[[#This Row],[NIBR11-T]]&gt;=K$436,0,100*(K$436-Tabell2[[#This Row],[NIBR11-T]])/K$439))</f>
        <v>0</v>
      </c>
      <c r="U284" s="7">
        <f>IF(Tabell2[[#This Row],[ReisetidOslo-T]]&lt;=L$437,100,IF(Tabell2[[#This Row],[ReisetidOslo-T]]&gt;=L$436,0,100*(L$436-Tabell2[[#This Row],[ReisetidOslo-T]])/L$439))</f>
        <v>11.95173674574942</v>
      </c>
      <c r="V284" s="7">
        <f>100-(M$436-Tabell2[[#This Row],[Beftettotal-T]])*100/M$439</f>
        <v>44.526451915615908</v>
      </c>
      <c r="W284" s="7">
        <f>100-(N$436-Tabell2[[#This Row],[Befvekst10-T]])*100/N$439</f>
        <v>26.886862838822935</v>
      </c>
      <c r="X284" s="7">
        <f>100-(O$436-Tabell2[[#This Row],[Kvinneandel-T]])*100/O$439</f>
        <v>0</v>
      </c>
      <c r="Y284" s="7">
        <f>(P$436-Tabell2[[#This Row],[Eldreandel-T]])*100/P$439</f>
        <v>26.528813599079804</v>
      </c>
      <c r="Z284" s="7">
        <f>100-(Q$436-Tabell2[[#This Row],[Sysselsettingsvekst10-T]])*100/Q$439</f>
        <v>32.824086256681838</v>
      </c>
      <c r="AA284" s="7">
        <f>100-(R$436-Tabell2[[#This Row],[Yrkesaktivandel-T]])*100/R$439</f>
        <v>100</v>
      </c>
      <c r="AB284" s="7">
        <f>100-(S$436-Tabell2[[#This Row],[Inntekt-T]])*100/S$439</f>
        <v>100</v>
      </c>
      <c r="AC284" s="55">
        <f>Tabell2[[#This Row],[NIBR11-I]]*Vekter!$B$3</f>
        <v>0</v>
      </c>
      <c r="AD284" s="55">
        <f>Tabell2[[#This Row],[ReisetidOslo-I]]*Vekter!$C$3</f>
        <v>1.1951736745749419</v>
      </c>
      <c r="AE284" s="55">
        <f>Tabell2[[#This Row],[Beftettotal-I]]*Vekter!$D$3</f>
        <v>4.452645191561591</v>
      </c>
      <c r="AF284" s="55">
        <f>Tabell2[[#This Row],[Befvekst10-I]]*Vekter!$E$3</f>
        <v>5.3773725677645876</v>
      </c>
      <c r="AG284" s="55">
        <f>Tabell2[[#This Row],[Kvinneandel-I]]*Vekter!$F$3</f>
        <v>0</v>
      </c>
      <c r="AH284" s="55">
        <f>Tabell2[[#This Row],[Eldreandel-I]]*Vekter!$G$3</f>
        <v>1.3264406799539903</v>
      </c>
      <c r="AI284" s="55">
        <f>Tabell2[[#This Row],[Sysselsettingsvekst10-I]]*Vekter!$H$3</f>
        <v>3.2824086256681841</v>
      </c>
      <c r="AJ284" s="55">
        <f>Tabell2[[#This Row],[Yrkesaktivandel-I]]*Vekter!$J$3</f>
        <v>10</v>
      </c>
      <c r="AK284" s="55">
        <f>Tabell2[[#This Row],[Inntekt-I]]*Vekter!$L$3</f>
        <v>10</v>
      </c>
      <c r="AL284" s="56">
        <f>SUM(Tabell2[[#This Row],[NIBR11-v]:[Inntekt-v]])</f>
        <v>35.634040739523293</v>
      </c>
    </row>
    <row r="285" spans="1:38" x14ac:dyDescent="0.25">
      <c r="A285" s="2" t="s">
        <v>282</v>
      </c>
      <c r="B285">
        <f>'Rådata-K'!M284</f>
        <v>4</v>
      </c>
      <c r="C285" s="7">
        <f>'Rådata-K'!L284</f>
        <v>186.35</v>
      </c>
      <c r="D285" s="34">
        <f>'Rådata-K'!N284</f>
        <v>58.676146944303369</v>
      </c>
      <c r="E285" s="34">
        <f>'Rådata-K'!O284</f>
        <v>0.13639344262295072</v>
      </c>
      <c r="F285" s="34">
        <f>'Rådata-K'!P284</f>
        <v>0.11627236006924409</v>
      </c>
      <c r="G285" s="34">
        <f>'Rådata-K'!Q284</f>
        <v>0.16387766878245816</v>
      </c>
      <c r="H285" s="34">
        <f>'Rådata-K'!R284</f>
        <v>0.44111969111969107</v>
      </c>
      <c r="I285" s="34">
        <f>'Rådata-K'!S284</f>
        <v>0.9408945686900958</v>
      </c>
      <c r="J285" s="22">
        <f>'Rådata-K'!K284</f>
        <v>407800</v>
      </c>
      <c r="K285" s="22">
        <f>Tabell2[[#This Row],[NIBR11]]</f>
        <v>4</v>
      </c>
      <c r="L285" s="32">
        <f>IF(Tabell2[[#This Row],[ReisetidOslo]]&lt;=C$434,C$434,IF(Tabell2[[#This Row],[ReisetidOslo]]&gt;=C$435,C$435,Tabell2[[#This Row],[ReisetidOslo]]))</f>
        <v>186.35</v>
      </c>
      <c r="M285" s="32">
        <f>IF(Tabell2[[#This Row],[Beftettotal]]&lt;=D$434,D$434,IF(Tabell2[[#This Row],[Beftettotal]]&gt;=D$435,D$435,Tabell2[[#This Row],[Beftettotal]]))</f>
        <v>58.676146944303369</v>
      </c>
      <c r="N285" s="34">
        <f>IF(Tabell2[[#This Row],[Befvekst10]]&lt;=E$434,E$434,IF(Tabell2[[#This Row],[Befvekst10]]&gt;=E$435,E$435,Tabell2[[#This Row],[Befvekst10]]))</f>
        <v>0.13639344262295072</v>
      </c>
      <c r="O285" s="34">
        <f>IF(Tabell2[[#This Row],[Kvinneandel]]&lt;=F$434,F$434,IF(Tabell2[[#This Row],[Kvinneandel]]&gt;=F$435,F$435,Tabell2[[#This Row],[Kvinneandel]]))</f>
        <v>0.11627236006924409</v>
      </c>
      <c r="P285" s="34">
        <f>IF(Tabell2[[#This Row],[Eldreandel]]&lt;=G$434,G$434,IF(Tabell2[[#This Row],[Eldreandel]]&gt;=G$435,G$435,Tabell2[[#This Row],[Eldreandel]]))</f>
        <v>0.16387766878245816</v>
      </c>
      <c r="Q285" s="34">
        <f>IF(Tabell2[[#This Row],[Sysselsettingsvekst10]]&lt;=H$434,H$434,IF(Tabell2[[#This Row],[Sysselsettingsvekst10]]&gt;=H$435,H$435,Tabell2[[#This Row],[Sysselsettingsvekst10]]))</f>
        <v>0.26635476409167841</v>
      </c>
      <c r="R285" s="34">
        <f>IF(Tabell2[[#This Row],[Yrkesaktivandel]]&lt;=I$434,I$434,IF(Tabell2[[#This Row],[Yrkesaktivandel]]&gt;=I$435,I$435,Tabell2[[#This Row],[Yrkesaktivandel]]))</f>
        <v>0.9408945686900958</v>
      </c>
      <c r="S285" s="22">
        <f>IF(Tabell2[[#This Row],[Inntekt]]&lt;=J$434,J$434,IF(Tabell2[[#This Row],[Inntekt]]&gt;=J$435,J$435,Tabell2[[#This Row],[Inntekt]]))</f>
        <v>407800</v>
      </c>
      <c r="T285" s="22">
        <f>IF(Tabell2[[#This Row],[NIBR11-T]]&lt;=K$437,100,IF(Tabell2[[#This Row],[NIBR11-T]]&gt;=K$436,0,100*(K$436-Tabell2[[#This Row],[NIBR11-T]])/K$439))</f>
        <v>70</v>
      </c>
      <c r="U285" s="7">
        <f>IF(Tabell2[[#This Row],[ReisetidOslo-T]]&lt;=L$437,100,IF(Tabell2[[#This Row],[ReisetidOslo-T]]&gt;=L$436,0,100*(L$436-Tabell2[[#This Row],[ReisetidOslo-T]])/L$439))</f>
        <v>41.289945155399067</v>
      </c>
      <c r="V285" s="7">
        <f>100-(M$436-Tabell2[[#This Row],[Beftettotal-T]])*100/M$439</f>
        <v>44.361479879643419</v>
      </c>
      <c r="W285" s="7">
        <f>100-(N$436-Tabell2[[#This Row],[Befvekst10-T]])*100/N$439</f>
        <v>85.596343609507301</v>
      </c>
      <c r="X285" s="7">
        <f>100-(O$436-Tabell2[[#This Row],[Kvinneandel-T]])*100/O$439</f>
        <v>68.128887785489184</v>
      </c>
      <c r="Y285" s="7">
        <f>(P$436-Tabell2[[#This Row],[Eldreandel-T]])*100/P$439</f>
        <v>55.343427228548457</v>
      </c>
      <c r="Z285" s="7">
        <f>100-(Q$436-Tabell2[[#This Row],[Sysselsettingsvekst10-T]])*100/Q$439</f>
        <v>100</v>
      </c>
      <c r="AA285" s="7">
        <f>100-(R$436-Tabell2[[#This Row],[Yrkesaktivandel-T]])*100/R$439</f>
        <v>83.746951340297414</v>
      </c>
      <c r="AB285" s="7">
        <f>100-(S$436-Tabell2[[#This Row],[Inntekt-T]])*100/S$439</f>
        <v>88.414209426514972</v>
      </c>
      <c r="AC285" s="55">
        <f>Tabell2[[#This Row],[NIBR11-I]]*Vekter!$B$3</f>
        <v>14</v>
      </c>
      <c r="AD285" s="55">
        <f>Tabell2[[#This Row],[ReisetidOslo-I]]*Vekter!$C$3</f>
        <v>4.1289945155399073</v>
      </c>
      <c r="AE285" s="55">
        <f>Tabell2[[#This Row],[Beftettotal-I]]*Vekter!$D$3</f>
        <v>4.4361479879643424</v>
      </c>
      <c r="AF285" s="55">
        <f>Tabell2[[#This Row],[Befvekst10-I]]*Vekter!$E$3</f>
        <v>17.119268721901459</v>
      </c>
      <c r="AG285" s="55">
        <f>Tabell2[[#This Row],[Kvinneandel-I]]*Vekter!$F$3</f>
        <v>3.4064443892744594</v>
      </c>
      <c r="AH285" s="55">
        <f>Tabell2[[#This Row],[Eldreandel-I]]*Vekter!$G$3</f>
        <v>2.7671713614274229</v>
      </c>
      <c r="AI285" s="55">
        <f>Tabell2[[#This Row],[Sysselsettingsvekst10-I]]*Vekter!$H$3</f>
        <v>10</v>
      </c>
      <c r="AJ285" s="55">
        <f>Tabell2[[#This Row],[Yrkesaktivandel-I]]*Vekter!$J$3</f>
        <v>8.3746951340297411</v>
      </c>
      <c r="AK285" s="55">
        <f>Tabell2[[#This Row],[Inntekt-I]]*Vekter!$L$3</f>
        <v>8.8414209426514976</v>
      </c>
      <c r="AL285" s="56">
        <f>SUM(Tabell2[[#This Row],[NIBR11-v]:[Inntekt-v]])</f>
        <v>73.074143052788827</v>
      </c>
    </row>
    <row r="286" spans="1:38" x14ac:dyDescent="0.25">
      <c r="A286" s="2" t="s">
        <v>283</v>
      </c>
      <c r="B286">
        <f>'Rådata-K'!M285</f>
        <v>4</v>
      </c>
      <c r="C286" s="7">
        <f>'Rådata-K'!L285</f>
        <v>166.01666666670002</v>
      </c>
      <c r="D286" s="34">
        <f>'Rådata-K'!N285</f>
        <v>26.47138374986476</v>
      </c>
      <c r="E286" s="34">
        <f>'Rådata-K'!O285</f>
        <v>8.4672503601906257E-2</v>
      </c>
      <c r="F286" s="34">
        <f>'Rådata-K'!P285</f>
        <v>0.11923980790844999</v>
      </c>
      <c r="G286" s="34">
        <f>'Rådata-K'!Q285</f>
        <v>0.14447736793705937</v>
      </c>
      <c r="H286" s="34">
        <f>'Rådata-K'!R285</f>
        <v>5.6962025316455778E-2</v>
      </c>
      <c r="I286" s="34">
        <f>'Rådata-K'!S285</f>
        <v>0.9231456657730116</v>
      </c>
      <c r="J286" s="22">
        <f>'Rådata-K'!K285</f>
        <v>387000</v>
      </c>
      <c r="K286" s="22">
        <f>Tabell2[[#This Row],[NIBR11]]</f>
        <v>4</v>
      </c>
      <c r="L286" s="32">
        <f>IF(Tabell2[[#This Row],[ReisetidOslo]]&lt;=C$434,C$434,IF(Tabell2[[#This Row],[ReisetidOslo]]&gt;=C$435,C$435,Tabell2[[#This Row],[ReisetidOslo]]))</f>
        <v>166.01666666670002</v>
      </c>
      <c r="M286" s="32">
        <f>IF(Tabell2[[#This Row],[Beftettotal]]&lt;=D$434,D$434,IF(Tabell2[[#This Row],[Beftettotal]]&gt;=D$435,D$435,Tabell2[[#This Row],[Beftettotal]]))</f>
        <v>26.47138374986476</v>
      </c>
      <c r="N286" s="34">
        <f>IF(Tabell2[[#This Row],[Befvekst10]]&lt;=E$434,E$434,IF(Tabell2[[#This Row],[Befvekst10]]&gt;=E$435,E$435,Tabell2[[#This Row],[Befvekst10]]))</f>
        <v>8.4672503601906257E-2</v>
      </c>
      <c r="O286" s="34">
        <f>IF(Tabell2[[#This Row],[Kvinneandel]]&lt;=F$434,F$434,IF(Tabell2[[#This Row],[Kvinneandel]]&gt;=F$435,F$435,Tabell2[[#This Row],[Kvinneandel]]))</f>
        <v>0.11923980790844999</v>
      </c>
      <c r="P286" s="34">
        <f>IF(Tabell2[[#This Row],[Eldreandel]]&lt;=G$434,G$434,IF(Tabell2[[#This Row],[Eldreandel]]&gt;=G$435,G$435,Tabell2[[#This Row],[Eldreandel]]))</f>
        <v>0.14447736793705937</v>
      </c>
      <c r="Q286" s="34">
        <f>IF(Tabell2[[#This Row],[Sysselsettingsvekst10]]&lt;=H$434,H$434,IF(Tabell2[[#This Row],[Sysselsettingsvekst10]]&gt;=H$435,H$435,Tabell2[[#This Row],[Sysselsettingsvekst10]]))</f>
        <v>5.6962025316455778E-2</v>
      </c>
      <c r="R286" s="34">
        <f>IF(Tabell2[[#This Row],[Yrkesaktivandel]]&lt;=I$434,I$434,IF(Tabell2[[#This Row],[Yrkesaktivandel]]&gt;=I$435,I$435,Tabell2[[#This Row],[Yrkesaktivandel]]))</f>
        <v>0.9231456657730116</v>
      </c>
      <c r="S286" s="22">
        <f>IF(Tabell2[[#This Row],[Inntekt]]&lt;=J$434,J$434,IF(Tabell2[[#This Row],[Inntekt]]&gt;=J$435,J$435,Tabell2[[#This Row],[Inntekt]]))</f>
        <v>387000</v>
      </c>
      <c r="T286" s="22">
        <f>IF(Tabell2[[#This Row],[NIBR11-T]]&lt;=K$437,100,IF(Tabell2[[#This Row],[NIBR11-T]]&gt;=K$436,0,100*(K$436-Tabell2[[#This Row],[NIBR11-T]])/K$439))</f>
        <v>70</v>
      </c>
      <c r="U286" s="7">
        <f>IF(Tabell2[[#This Row],[ReisetidOslo-T]]&lt;=L$437,100,IF(Tabell2[[#This Row],[ReisetidOslo-T]]&gt;=L$436,0,100*(L$436-Tabell2[[#This Row],[ReisetidOslo-T]])/L$439))</f>
        <v>50.211334552092843</v>
      </c>
      <c r="V286" s="7">
        <f>100-(M$436-Tabell2[[#This Row],[Beftettotal-T]])*100/M$439</f>
        <v>19.448816106952023</v>
      </c>
      <c r="W286" s="7">
        <f>100-(N$436-Tabell2[[#This Row],[Befvekst10-T]])*100/N$439</f>
        <v>64.77160294155658</v>
      </c>
      <c r="X286" s="7">
        <f>100-(O$436-Tabell2[[#This Row],[Kvinneandel-T]])*100/O$439</f>
        <v>75.970313711719925</v>
      </c>
      <c r="Y286" s="7">
        <f>(P$436-Tabell2[[#This Row],[Eldreandel-T]])*100/P$439</f>
        <v>76.601344484969829</v>
      </c>
      <c r="Z286" s="7">
        <f>100-(Q$436-Tabell2[[#This Row],[Sysselsettingsvekst10-T]])*100/Q$439</f>
        <v>37.697095072743771</v>
      </c>
      <c r="AA286" s="7">
        <f>100-(R$436-Tabell2[[#This Row],[Yrkesaktivandel-T]])*100/R$439</f>
        <v>70.099966338495449</v>
      </c>
      <c r="AB286" s="7">
        <f>100-(S$436-Tabell2[[#This Row],[Inntekt-T]])*100/S$439</f>
        <v>64.267471557928957</v>
      </c>
      <c r="AC286" s="55">
        <f>Tabell2[[#This Row],[NIBR11-I]]*Vekter!$B$3</f>
        <v>14</v>
      </c>
      <c r="AD286" s="55">
        <f>Tabell2[[#This Row],[ReisetidOslo-I]]*Vekter!$C$3</f>
        <v>5.0211334552092843</v>
      </c>
      <c r="AE286" s="55">
        <f>Tabell2[[#This Row],[Beftettotal-I]]*Vekter!$D$3</f>
        <v>1.9448816106952025</v>
      </c>
      <c r="AF286" s="55">
        <f>Tabell2[[#This Row],[Befvekst10-I]]*Vekter!$E$3</f>
        <v>12.954320588311317</v>
      </c>
      <c r="AG286" s="55">
        <f>Tabell2[[#This Row],[Kvinneandel-I]]*Vekter!$F$3</f>
        <v>3.7985156855859965</v>
      </c>
      <c r="AH286" s="55">
        <f>Tabell2[[#This Row],[Eldreandel-I]]*Vekter!$G$3</f>
        <v>3.8300672242484914</v>
      </c>
      <c r="AI286" s="55">
        <f>Tabell2[[#This Row],[Sysselsettingsvekst10-I]]*Vekter!$H$3</f>
        <v>3.7697095072743774</v>
      </c>
      <c r="AJ286" s="55">
        <f>Tabell2[[#This Row],[Yrkesaktivandel-I]]*Vekter!$J$3</f>
        <v>7.0099966338495454</v>
      </c>
      <c r="AK286" s="55">
        <f>Tabell2[[#This Row],[Inntekt-I]]*Vekter!$L$3</f>
        <v>6.4267471557928957</v>
      </c>
      <c r="AL286" s="56">
        <f>SUM(Tabell2[[#This Row],[NIBR11-v]:[Inntekt-v]])</f>
        <v>58.755371860967117</v>
      </c>
    </row>
    <row r="287" spans="1:38" x14ac:dyDescent="0.25">
      <c r="A287" s="2" t="s">
        <v>284</v>
      </c>
      <c r="B287">
        <f>'Rådata-K'!M286</f>
        <v>4</v>
      </c>
      <c r="C287" s="7">
        <f>'Rådata-K'!L286</f>
        <v>172.4333333333</v>
      </c>
      <c r="D287" s="34">
        <f>'Rådata-K'!N286</f>
        <v>22.769412847655992</v>
      </c>
      <c r="E287" s="34">
        <f>'Rådata-K'!O286</f>
        <v>4.8123486682808636E-2</v>
      </c>
      <c r="F287" s="34">
        <f>'Rådata-K'!P286</f>
        <v>0.11319665030320532</v>
      </c>
      <c r="G287" s="34">
        <f>'Rådata-K'!Q286</f>
        <v>0.1455385503898354</v>
      </c>
      <c r="H287" s="34">
        <f>'Rådata-K'!R286</f>
        <v>1.0699588477366184E-2</v>
      </c>
      <c r="I287" s="34">
        <f>'Rådata-K'!S286</f>
        <v>0.93965961835997935</v>
      </c>
      <c r="J287" s="22">
        <f>'Rådata-K'!K286</f>
        <v>375900</v>
      </c>
      <c r="K287" s="22">
        <f>Tabell2[[#This Row],[NIBR11]]</f>
        <v>4</v>
      </c>
      <c r="L287" s="32">
        <f>IF(Tabell2[[#This Row],[ReisetidOslo]]&lt;=C$434,C$434,IF(Tabell2[[#This Row],[ReisetidOslo]]&gt;=C$435,C$435,Tabell2[[#This Row],[ReisetidOslo]]))</f>
        <v>172.4333333333</v>
      </c>
      <c r="M287" s="32">
        <f>IF(Tabell2[[#This Row],[Beftettotal]]&lt;=D$434,D$434,IF(Tabell2[[#This Row],[Beftettotal]]&gt;=D$435,D$435,Tabell2[[#This Row],[Beftettotal]]))</f>
        <v>22.769412847655992</v>
      </c>
      <c r="N287" s="34">
        <f>IF(Tabell2[[#This Row],[Befvekst10]]&lt;=E$434,E$434,IF(Tabell2[[#This Row],[Befvekst10]]&gt;=E$435,E$435,Tabell2[[#This Row],[Befvekst10]]))</f>
        <v>4.8123486682808636E-2</v>
      </c>
      <c r="O287" s="34">
        <f>IF(Tabell2[[#This Row],[Kvinneandel]]&lt;=F$434,F$434,IF(Tabell2[[#This Row],[Kvinneandel]]&gt;=F$435,F$435,Tabell2[[#This Row],[Kvinneandel]]))</f>
        <v>0.11319665030320532</v>
      </c>
      <c r="P287" s="34">
        <f>IF(Tabell2[[#This Row],[Eldreandel]]&lt;=G$434,G$434,IF(Tabell2[[#This Row],[Eldreandel]]&gt;=G$435,G$435,Tabell2[[#This Row],[Eldreandel]]))</f>
        <v>0.1455385503898354</v>
      </c>
      <c r="Q287" s="34">
        <f>IF(Tabell2[[#This Row],[Sysselsettingsvekst10]]&lt;=H$434,H$434,IF(Tabell2[[#This Row],[Sysselsettingsvekst10]]&gt;=H$435,H$435,Tabell2[[#This Row],[Sysselsettingsvekst10]]))</f>
        <v>1.0699588477366184E-2</v>
      </c>
      <c r="R287" s="34">
        <f>IF(Tabell2[[#This Row],[Yrkesaktivandel]]&lt;=I$434,I$434,IF(Tabell2[[#This Row],[Yrkesaktivandel]]&gt;=I$435,I$435,Tabell2[[#This Row],[Yrkesaktivandel]]))</f>
        <v>0.93965961835997935</v>
      </c>
      <c r="S287" s="22">
        <f>IF(Tabell2[[#This Row],[Inntekt]]&lt;=J$434,J$434,IF(Tabell2[[#This Row],[Inntekt]]&gt;=J$435,J$435,Tabell2[[#This Row],[Inntekt]]))</f>
        <v>375900</v>
      </c>
      <c r="T287" s="22">
        <f>IF(Tabell2[[#This Row],[NIBR11-T]]&lt;=K$437,100,IF(Tabell2[[#This Row],[NIBR11-T]]&gt;=K$436,0,100*(K$436-Tabell2[[#This Row],[NIBR11-T]])/K$439))</f>
        <v>70</v>
      </c>
      <c r="U287" s="7">
        <f>IF(Tabell2[[#This Row],[ReisetidOslo-T]]&lt;=L$437,100,IF(Tabell2[[#This Row],[ReisetidOslo-T]]&gt;=L$436,0,100*(L$436-Tabell2[[#This Row],[ReisetidOslo-T]])/L$439))</f>
        <v>47.395978062177235</v>
      </c>
      <c r="V287" s="7">
        <f>100-(M$436-Tabell2[[#This Row],[Beftettotal-T]])*100/M$439</f>
        <v>16.585079589897276</v>
      </c>
      <c r="W287" s="7">
        <f>100-(N$436-Tabell2[[#This Row],[Befvekst10-T]])*100/N$439</f>
        <v>50.055632709479745</v>
      </c>
      <c r="X287" s="7">
        <f>100-(O$436-Tabell2[[#This Row],[Kvinneandel-T]])*100/O$439</f>
        <v>60.001381723771324</v>
      </c>
      <c r="Y287" s="7">
        <f>(P$436-Tabell2[[#This Row],[Eldreandel-T]])*100/P$439</f>
        <v>75.438551755369986</v>
      </c>
      <c r="Z287" s="7">
        <f>100-(Q$436-Tabell2[[#This Row],[Sysselsettingsvekst10-T]])*100/Q$439</f>
        <v>23.932127763237176</v>
      </c>
      <c r="AA287" s="7">
        <f>100-(R$436-Tabell2[[#This Row],[Yrkesaktivandel-T]])*100/R$439</f>
        <v>82.797408221390199</v>
      </c>
      <c r="AB287" s="7">
        <f>100-(S$436-Tabell2[[#This Row],[Inntekt-T]])*100/S$439</f>
        <v>51.381472022289294</v>
      </c>
      <c r="AC287" s="55">
        <f>Tabell2[[#This Row],[NIBR11-I]]*Vekter!$B$3</f>
        <v>14</v>
      </c>
      <c r="AD287" s="55">
        <f>Tabell2[[#This Row],[ReisetidOslo-I]]*Vekter!$C$3</f>
        <v>4.7395978062177235</v>
      </c>
      <c r="AE287" s="55">
        <f>Tabell2[[#This Row],[Beftettotal-I]]*Vekter!$D$3</f>
        <v>1.6585079589897278</v>
      </c>
      <c r="AF287" s="55">
        <f>Tabell2[[#This Row],[Befvekst10-I]]*Vekter!$E$3</f>
        <v>10.011126541895949</v>
      </c>
      <c r="AG287" s="55">
        <f>Tabell2[[#This Row],[Kvinneandel-I]]*Vekter!$F$3</f>
        <v>3.0000690861885664</v>
      </c>
      <c r="AH287" s="55">
        <f>Tabell2[[#This Row],[Eldreandel-I]]*Vekter!$G$3</f>
        <v>3.7719275877684995</v>
      </c>
      <c r="AI287" s="55">
        <f>Tabell2[[#This Row],[Sysselsettingsvekst10-I]]*Vekter!$H$3</f>
        <v>2.3932127763237179</v>
      </c>
      <c r="AJ287" s="55">
        <f>Tabell2[[#This Row],[Yrkesaktivandel-I]]*Vekter!$J$3</f>
        <v>8.2797408221390203</v>
      </c>
      <c r="AK287" s="55">
        <f>Tabell2[[#This Row],[Inntekt-I]]*Vekter!$L$3</f>
        <v>5.1381472022289296</v>
      </c>
      <c r="AL287" s="56">
        <f>SUM(Tabell2[[#This Row],[NIBR11-v]:[Inntekt-v]])</f>
        <v>52.992329781752133</v>
      </c>
    </row>
    <row r="288" spans="1:38" x14ac:dyDescent="0.25">
      <c r="A288" s="2" t="s">
        <v>285</v>
      </c>
      <c r="B288">
        <f>'Rådata-K'!M287</f>
        <v>5</v>
      </c>
      <c r="C288" s="7">
        <f>'Rådata-K'!L287</f>
        <v>173.5</v>
      </c>
      <c r="D288" s="34">
        <f>'Rådata-K'!N287</f>
        <v>33.055682336832497</v>
      </c>
      <c r="E288" s="34">
        <f>'Rådata-K'!O287</f>
        <v>6.3509544787077932E-2</v>
      </c>
      <c r="F288" s="34">
        <f>'Rådata-K'!P287</f>
        <v>0.10804280289955126</v>
      </c>
      <c r="G288" s="34">
        <f>'Rådata-K'!Q287</f>
        <v>0.15740421125302037</v>
      </c>
      <c r="H288" s="34">
        <f>'Rådata-K'!R287</f>
        <v>7.5166508087535666E-2</v>
      </c>
      <c r="I288" s="34">
        <f>'Rådata-K'!S287</f>
        <v>0.90139140955837871</v>
      </c>
      <c r="J288" s="22">
        <f>'Rådata-K'!K287</f>
        <v>400800</v>
      </c>
      <c r="K288" s="22">
        <f>Tabell2[[#This Row],[NIBR11]]</f>
        <v>5</v>
      </c>
      <c r="L288" s="32">
        <f>IF(Tabell2[[#This Row],[ReisetidOslo]]&lt;=C$434,C$434,IF(Tabell2[[#This Row],[ReisetidOslo]]&gt;=C$435,C$435,Tabell2[[#This Row],[ReisetidOslo]]))</f>
        <v>173.5</v>
      </c>
      <c r="M288" s="32">
        <f>IF(Tabell2[[#This Row],[Beftettotal]]&lt;=D$434,D$434,IF(Tabell2[[#This Row],[Beftettotal]]&gt;=D$435,D$435,Tabell2[[#This Row],[Beftettotal]]))</f>
        <v>33.055682336832497</v>
      </c>
      <c r="N288" s="34">
        <f>IF(Tabell2[[#This Row],[Befvekst10]]&lt;=E$434,E$434,IF(Tabell2[[#This Row],[Befvekst10]]&gt;=E$435,E$435,Tabell2[[#This Row],[Befvekst10]]))</f>
        <v>6.3509544787077932E-2</v>
      </c>
      <c r="O288" s="34">
        <f>IF(Tabell2[[#This Row],[Kvinneandel]]&lt;=F$434,F$434,IF(Tabell2[[#This Row],[Kvinneandel]]&gt;=F$435,F$435,Tabell2[[#This Row],[Kvinneandel]]))</f>
        <v>0.10804280289955126</v>
      </c>
      <c r="P288" s="34">
        <f>IF(Tabell2[[#This Row],[Eldreandel]]&lt;=G$434,G$434,IF(Tabell2[[#This Row],[Eldreandel]]&gt;=G$435,G$435,Tabell2[[#This Row],[Eldreandel]]))</f>
        <v>0.15740421125302037</v>
      </c>
      <c r="Q288" s="34">
        <f>IF(Tabell2[[#This Row],[Sysselsettingsvekst10]]&lt;=H$434,H$434,IF(Tabell2[[#This Row],[Sysselsettingsvekst10]]&gt;=H$435,H$435,Tabell2[[#This Row],[Sysselsettingsvekst10]]))</f>
        <v>7.5166508087535666E-2</v>
      </c>
      <c r="R288" s="34">
        <f>IF(Tabell2[[#This Row],[Yrkesaktivandel]]&lt;=I$434,I$434,IF(Tabell2[[#This Row],[Yrkesaktivandel]]&gt;=I$435,I$435,Tabell2[[#This Row],[Yrkesaktivandel]]))</f>
        <v>0.90139140955837871</v>
      </c>
      <c r="S288" s="22">
        <f>IF(Tabell2[[#This Row],[Inntekt]]&lt;=J$434,J$434,IF(Tabell2[[#This Row],[Inntekt]]&gt;=J$435,J$435,Tabell2[[#This Row],[Inntekt]]))</f>
        <v>400800</v>
      </c>
      <c r="T288" s="22">
        <f>IF(Tabell2[[#This Row],[NIBR11-T]]&lt;=K$437,100,IF(Tabell2[[#This Row],[NIBR11-T]]&gt;=K$436,0,100*(K$436-Tabell2[[#This Row],[NIBR11-T]])/K$439))</f>
        <v>60</v>
      </c>
      <c r="U288" s="7">
        <f>IF(Tabell2[[#This Row],[ReisetidOslo-T]]&lt;=L$437,100,IF(Tabell2[[#This Row],[ReisetidOslo-T]]&gt;=L$436,0,100*(L$436-Tabell2[[#This Row],[ReisetidOslo-T]])/L$439))</f>
        <v>46.9279707495484</v>
      </c>
      <c r="V288" s="7">
        <f>100-(M$436-Tabell2[[#This Row],[Beftettotal-T]])*100/M$439</f>
        <v>24.54223709830589</v>
      </c>
      <c r="W288" s="7">
        <f>100-(N$436-Tabell2[[#This Row],[Befvekst10-T]])*100/N$439</f>
        <v>56.250622127461106</v>
      </c>
      <c r="X288" s="7">
        <f>100-(O$436-Tabell2[[#This Row],[Kvinneandel-T]])*100/O$439</f>
        <v>46.382435463989793</v>
      </c>
      <c r="Y288" s="7">
        <f>(P$436-Tabell2[[#This Row],[Eldreandel-T]])*100/P$439</f>
        <v>62.436730864423986</v>
      </c>
      <c r="Z288" s="7">
        <f>100-(Q$436-Tabell2[[#This Row],[Sysselsettingsvekst10-T]])*100/Q$439</f>
        <v>43.113673345565296</v>
      </c>
      <c r="AA288" s="7">
        <f>100-(R$436-Tabell2[[#This Row],[Yrkesaktivandel-T]])*100/R$439</f>
        <v>53.373298235494516</v>
      </c>
      <c r="AB288" s="7">
        <f>100-(S$436-Tabell2[[#This Row],[Inntekt-T]])*100/S$439</f>
        <v>80.287903413048525</v>
      </c>
      <c r="AC288" s="55">
        <f>Tabell2[[#This Row],[NIBR11-I]]*Vekter!$B$3</f>
        <v>12</v>
      </c>
      <c r="AD288" s="55">
        <f>Tabell2[[#This Row],[ReisetidOslo-I]]*Vekter!$C$3</f>
        <v>4.6927970749548402</v>
      </c>
      <c r="AE288" s="55">
        <f>Tabell2[[#This Row],[Beftettotal-I]]*Vekter!$D$3</f>
        <v>2.4542237098305892</v>
      </c>
      <c r="AF288" s="55">
        <f>Tabell2[[#This Row],[Befvekst10-I]]*Vekter!$E$3</f>
        <v>11.250124425492222</v>
      </c>
      <c r="AG288" s="55">
        <f>Tabell2[[#This Row],[Kvinneandel-I]]*Vekter!$F$3</f>
        <v>2.3191217731994898</v>
      </c>
      <c r="AH288" s="55">
        <f>Tabell2[[#This Row],[Eldreandel-I]]*Vekter!$G$3</f>
        <v>3.1218365432211996</v>
      </c>
      <c r="AI288" s="55">
        <f>Tabell2[[#This Row],[Sysselsettingsvekst10-I]]*Vekter!$H$3</f>
        <v>4.3113673345565298</v>
      </c>
      <c r="AJ288" s="55">
        <f>Tabell2[[#This Row],[Yrkesaktivandel-I]]*Vekter!$J$3</f>
        <v>5.3373298235494522</v>
      </c>
      <c r="AK288" s="55">
        <f>Tabell2[[#This Row],[Inntekt-I]]*Vekter!$L$3</f>
        <v>8.0287903413048536</v>
      </c>
      <c r="AL288" s="56">
        <f>SUM(Tabell2[[#This Row],[NIBR11-v]:[Inntekt-v]])</f>
        <v>53.515591026109178</v>
      </c>
    </row>
    <row r="289" spans="1:38" x14ac:dyDescent="0.25">
      <c r="A289" s="2" t="s">
        <v>286</v>
      </c>
      <c r="B289">
        <f>'Rådata-K'!M288</f>
        <v>4</v>
      </c>
      <c r="C289" s="7">
        <f>'Rådata-K'!L288</f>
        <v>175.98333333329998</v>
      </c>
      <c r="D289" s="34">
        <f>'Rådata-K'!N288</f>
        <v>6.7604748054398236</v>
      </c>
      <c r="E289" s="34">
        <f>'Rådata-K'!O288</f>
        <v>-4.4444444444444398E-2</v>
      </c>
      <c r="F289" s="34">
        <f>'Rådata-K'!P288</f>
        <v>0.10116279069767442</v>
      </c>
      <c r="G289" s="34">
        <f>'Rådata-K'!Q288</f>
        <v>0.17751937984496124</v>
      </c>
      <c r="H289" s="34">
        <f>'Rådata-K'!R288</f>
        <v>6.1349693251533388E-3</v>
      </c>
      <c r="I289" s="34">
        <f>'Rådata-K'!S288</f>
        <v>0.94588896697118763</v>
      </c>
      <c r="J289" s="22">
        <f>'Rådata-K'!K288</f>
        <v>390700</v>
      </c>
      <c r="K289" s="22">
        <f>Tabell2[[#This Row],[NIBR11]]</f>
        <v>4</v>
      </c>
      <c r="L289" s="32">
        <f>IF(Tabell2[[#This Row],[ReisetidOslo]]&lt;=C$434,C$434,IF(Tabell2[[#This Row],[ReisetidOslo]]&gt;=C$435,C$435,Tabell2[[#This Row],[ReisetidOslo]]))</f>
        <v>175.98333333329998</v>
      </c>
      <c r="M289" s="32">
        <f>IF(Tabell2[[#This Row],[Beftettotal]]&lt;=D$434,D$434,IF(Tabell2[[#This Row],[Beftettotal]]&gt;=D$435,D$435,Tabell2[[#This Row],[Beftettotal]]))</f>
        <v>6.7604748054398236</v>
      </c>
      <c r="N289" s="34">
        <f>IF(Tabell2[[#This Row],[Befvekst10]]&lt;=E$434,E$434,IF(Tabell2[[#This Row],[Befvekst10]]&gt;=E$435,E$435,Tabell2[[#This Row],[Befvekst10]]))</f>
        <v>-4.4444444444444398E-2</v>
      </c>
      <c r="O289" s="34">
        <f>IF(Tabell2[[#This Row],[Kvinneandel]]&lt;=F$434,F$434,IF(Tabell2[[#This Row],[Kvinneandel]]&gt;=F$435,F$435,Tabell2[[#This Row],[Kvinneandel]]))</f>
        <v>0.10116279069767442</v>
      </c>
      <c r="P289" s="34">
        <f>IF(Tabell2[[#This Row],[Eldreandel]]&lt;=G$434,G$434,IF(Tabell2[[#This Row],[Eldreandel]]&gt;=G$435,G$435,Tabell2[[#This Row],[Eldreandel]]))</f>
        <v>0.17751937984496124</v>
      </c>
      <c r="Q289" s="34">
        <f>IF(Tabell2[[#This Row],[Sysselsettingsvekst10]]&lt;=H$434,H$434,IF(Tabell2[[#This Row],[Sysselsettingsvekst10]]&gt;=H$435,H$435,Tabell2[[#This Row],[Sysselsettingsvekst10]]))</f>
        <v>6.1349693251533388E-3</v>
      </c>
      <c r="R289" s="34">
        <f>IF(Tabell2[[#This Row],[Yrkesaktivandel]]&lt;=I$434,I$434,IF(Tabell2[[#This Row],[Yrkesaktivandel]]&gt;=I$435,I$435,Tabell2[[#This Row],[Yrkesaktivandel]]))</f>
        <v>0.94588896697118763</v>
      </c>
      <c r="S289" s="22">
        <f>IF(Tabell2[[#This Row],[Inntekt]]&lt;=J$434,J$434,IF(Tabell2[[#This Row],[Inntekt]]&gt;=J$435,J$435,Tabell2[[#This Row],[Inntekt]]))</f>
        <v>390700</v>
      </c>
      <c r="T289" s="22">
        <f>IF(Tabell2[[#This Row],[NIBR11-T]]&lt;=K$437,100,IF(Tabell2[[#This Row],[NIBR11-T]]&gt;=K$436,0,100*(K$436-Tabell2[[#This Row],[NIBR11-T]])/K$439))</f>
        <v>70</v>
      </c>
      <c r="U289" s="7">
        <f>IF(Tabell2[[#This Row],[ReisetidOslo-T]]&lt;=L$437,100,IF(Tabell2[[#This Row],[ReisetidOslo-T]]&gt;=L$436,0,100*(L$436-Tabell2[[#This Row],[ReisetidOslo-T]])/L$439))</f>
        <v>45.838391224883068</v>
      </c>
      <c r="V289" s="7">
        <f>100-(M$436-Tabell2[[#This Row],[Beftettotal-T]])*100/M$439</f>
        <v>4.2010329072484183</v>
      </c>
      <c r="W289" s="7">
        <f>100-(N$436-Tabell2[[#This Row],[Befvekst10-T]])*100/N$439</f>
        <v>12.784399890032773</v>
      </c>
      <c r="X289" s="7">
        <f>100-(O$436-Tabell2[[#This Row],[Kvinneandel-T]])*100/O$439</f>
        <v>28.202130711937954</v>
      </c>
      <c r="Y289" s="7">
        <f>(P$436-Tabell2[[#This Row],[Eldreandel-T]])*100/P$439</f>
        <v>40.395495889046714</v>
      </c>
      <c r="Z289" s="7">
        <f>100-(Q$436-Tabell2[[#This Row],[Sysselsettingsvekst10-T]])*100/Q$439</f>
        <v>22.573966851197454</v>
      </c>
      <c r="AA289" s="7">
        <f>100-(R$436-Tabell2[[#This Row],[Yrkesaktivandel-T]])*100/R$439</f>
        <v>87.587102968456918</v>
      </c>
      <c r="AB289" s="7">
        <f>100-(S$436-Tabell2[[#This Row],[Inntekt-T]])*100/S$439</f>
        <v>68.562804736475499</v>
      </c>
      <c r="AC289" s="55">
        <f>Tabell2[[#This Row],[NIBR11-I]]*Vekter!$B$3</f>
        <v>14</v>
      </c>
      <c r="AD289" s="55">
        <f>Tabell2[[#This Row],[ReisetidOslo-I]]*Vekter!$C$3</f>
        <v>4.5838391224883068</v>
      </c>
      <c r="AE289" s="55">
        <f>Tabell2[[#This Row],[Beftettotal-I]]*Vekter!$D$3</f>
        <v>0.42010329072484187</v>
      </c>
      <c r="AF289" s="55">
        <f>Tabell2[[#This Row],[Befvekst10-I]]*Vekter!$E$3</f>
        <v>2.5568799780065548</v>
      </c>
      <c r="AG289" s="55">
        <f>Tabell2[[#This Row],[Kvinneandel-I]]*Vekter!$F$3</f>
        <v>1.4101065355968978</v>
      </c>
      <c r="AH289" s="55">
        <f>Tabell2[[#This Row],[Eldreandel-I]]*Vekter!$G$3</f>
        <v>2.0197747944523359</v>
      </c>
      <c r="AI289" s="55">
        <f>Tabell2[[#This Row],[Sysselsettingsvekst10-I]]*Vekter!$H$3</f>
        <v>2.2573966851197453</v>
      </c>
      <c r="AJ289" s="55">
        <f>Tabell2[[#This Row],[Yrkesaktivandel-I]]*Vekter!$J$3</f>
        <v>8.7587102968456918</v>
      </c>
      <c r="AK289" s="55">
        <f>Tabell2[[#This Row],[Inntekt-I]]*Vekter!$L$3</f>
        <v>6.8562804736475504</v>
      </c>
      <c r="AL289" s="56">
        <f>SUM(Tabell2[[#This Row],[NIBR11-v]:[Inntekt-v]])</f>
        <v>42.86309117688193</v>
      </c>
    </row>
    <row r="290" spans="1:38" x14ac:dyDescent="0.25">
      <c r="A290" s="2" t="s">
        <v>287</v>
      </c>
      <c r="B290">
        <f>'Rådata-K'!M289</f>
        <v>5</v>
      </c>
      <c r="C290" s="7">
        <f>'Rådata-K'!L289</f>
        <v>195.1666666667</v>
      </c>
      <c r="D290" s="34">
        <f>'Rådata-K'!N289</f>
        <v>9.1756740705546971</v>
      </c>
      <c r="E290" s="34">
        <f>'Rådata-K'!O289</f>
        <v>-4.8309178743961567E-3</v>
      </c>
      <c r="F290" s="34">
        <f>'Rådata-K'!P289</f>
        <v>9.5145631067961159E-2</v>
      </c>
      <c r="G290" s="34">
        <f>'Rådata-K'!Q289</f>
        <v>0.20064724919093851</v>
      </c>
      <c r="H290" s="34">
        <f>'Rådata-K'!R289</f>
        <v>-1.883239171374762E-2</v>
      </c>
      <c r="I290" s="34">
        <f>'Rådata-K'!S289</f>
        <v>0.87338804220398591</v>
      </c>
      <c r="J290" s="22">
        <f>'Rådata-K'!K289</f>
        <v>341900</v>
      </c>
      <c r="K290" s="22">
        <f>Tabell2[[#This Row],[NIBR11]]</f>
        <v>5</v>
      </c>
      <c r="L290" s="32">
        <f>IF(Tabell2[[#This Row],[ReisetidOslo]]&lt;=C$434,C$434,IF(Tabell2[[#This Row],[ReisetidOslo]]&gt;=C$435,C$435,Tabell2[[#This Row],[ReisetidOslo]]))</f>
        <v>195.1666666667</v>
      </c>
      <c r="M290" s="32">
        <f>IF(Tabell2[[#This Row],[Beftettotal]]&lt;=D$434,D$434,IF(Tabell2[[#This Row],[Beftettotal]]&gt;=D$435,D$435,Tabell2[[#This Row],[Beftettotal]]))</f>
        <v>9.1756740705546971</v>
      </c>
      <c r="N290" s="34">
        <f>IF(Tabell2[[#This Row],[Befvekst10]]&lt;=E$434,E$434,IF(Tabell2[[#This Row],[Befvekst10]]&gt;=E$435,E$435,Tabell2[[#This Row],[Befvekst10]]))</f>
        <v>-4.8309178743961567E-3</v>
      </c>
      <c r="O290" s="34">
        <f>IF(Tabell2[[#This Row],[Kvinneandel]]&lt;=F$434,F$434,IF(Tabell2[[#This Row],[Kvinneandel]]&gt;=F$435,F$435,Tabell2[[#This Row],[Kvinneandel]]))</f>
        <v>9.5145631067961159E-2</v>
      </c>
      <c r="P290" s="34">
        <f>IF(Tabell2[[#This Row],[Eldreandel]]&lt;=G$434,G$434,IF(Tabell2[[#This Row],[Eldreandel]]&gt;=G$435,G$435,Tabell2[[#This Row],[Eldreandel]]))</f>
        <v>0.20064724919093851</v>
      </c>
      <c r="Q290" s="34">
        <f>IF(Tabell2[[#This Row],[Sysselsettingsvekst10]]&lt;=H$434,H$434,IF(Tabell2[[#This Row],[Sysselsettingsvekst10]]&gt;=H$435,H$435,Tabell2[[#This Row],[Sysselsettingsvekst10]]))</f>
        <v>-1.883239171374762E-2</v>
      </c>
      <c r="R290" s="34">
        <f>IF(Tabell2[[#This Row],[Yrkesaktivandel]]&lt;=I$434,I$434,IF(Tabell2[[#This Row],[Yrkesaktivandel]]&gt;=I$435,I$435,Tabell2[[#This Row],[Yrkesaktivandel]]))</f>
        <v>0.87338804220398591</v>
      </c>
      <c r="S290" s="22">
        <f>IF(Tabell2[[#This Row],[Inntekt]]&lt;=J$434,J$434,IF(Tabell2[[#This Row],[Inntekt]]&gt;=J$435,J$435,Tabell2[[#This Row],[Inntekt]]))</f>
        <v>341900</v>
      </c>
      <c r="T290" s="22">
        <f>IF(Tabell2[[#This Row],[NIBR11-T]]&lt;=K$437,100,IF(Tabell2[[#This Row],[NIBR11-T]]&gt;=K$436,0,100*(K$436-Tabell2[[#This Row],[NIBR11-T]])/K$439))</f>
        <v>60</v>
      </c>
      <c r="U290" s="7">
        <f>IF(Tabell2[[#This Row],[ReisetidOslo-T]]&lt;=L$437,100,IF(Tabell2[[#This Row],[ReisetidOslo-T]]&gt;=L$436,0,100*(L$436-Tabell2[[#This Row],[ReisetidOslo-T]])/L$439))</f>
        <v>37.421572212057598</v>
      </c>
      <c r="V290" s="7">
        <f>100-(M$436-Tabell2[[#This Row],[Beftettotal-T]])*100/M$439</f>
        <v>6.0693604857678736</v>
      </c>
      <c r="W290" s="7">
        <f>100-(N$436-Tabell2[[#This Row],[Befvekst10-T]])*100/N$439</f>
        <v>28.734253728312353</v>
      </c>
      <c r="X290" s="7">
        <f>100-(O$436-Tabell2[[#This Row],[Kvinneandel-T]])*100/O$439</f>
        <v>12.301897892570537</v>
      </c>
      <c r="Y290" s="7">
        <f>(P$436-Tabell2[[#This Row],[Eldreandel-T]])*100/P$439</f>
        <v>15.053088222687522</v>
      </c>
      <c r="Z290" s="7">
        <f>100-(Q$436-Tabell2[[#This Row],[Sysselsettingsvekst10-T]])*100/Q$439</f>
        <v>15.145155660371216</v>
      </c>
      <c r="AA290" s="7">
        <f>100-(R$436-Tabell2[[#This Row],[Yrkesaktivandel-T]])*100/R$439</f>
        <v>31.841740140289659</v>
      </c>
      <c r="AB290" s="7">
        <f>100-(S$436-Tabell2[[#This Row],[Inntekt-T]])*100/S$439</f>
        <v>11.910842814023681</v>
      </c>
      <c r="AC290" s="55">
        <f>Tabell2[[#This Row],[NIBR11-I]]*Vekter!$B$3</f>
        <v>12</v>
      </c>
      <c r="AD290" s="55">
        <f>Tabell2[[#This Row],[ReisetidOslo-I]]*Vekter!$C$3</f>
        <v>3.7421572212057601</v>
      </c>
      <c r="AE290" s="55">
        <f>Tabell2[[#This Row],[Beftettotal-I]]*Vekter!$D$3</f>
        <v>0.6069360485767874</v>
      </c>
      <c r="AF290" s="55">
        <f>Tabell2[[#This Row],[Befvekst10-I]]*Vekter!$E$3</f>
        <v>5.7468507456624707</v>
      </c>
      <c r="AG290" s="55">
        <f>Tabell2[[#This Row],[Kvinneandel-I]]*Vekter!$F$3</f>
        <v>0.61509489462852684</v>
      </c>
      <c r="AH290" s="55">
        <f>Tabell2[[#This Row],[Eldreandel-I]]*Vekter!$G$3</f>
        <v>0.75265441113437614</v>
      </c>
      <c r="AI290" s="55">
        <f>Tabell2[[#This Row],[Sysselsettingsvekst10-I]]*Vekter!$H$3</f>
        <v>1.5145155660371217</v>
      </c>
      <c r="AJ290" s="55">
        <f>Tabell2[[#This Row],[Yrkesaktivandel-I]]*Vekter!$J$3</f>
        <v>3.184174014028966</v>
      </c>
      <c r="AK290" s="55">
        <f>Tabell2[[#This Row],[Inntekt-I]]*Vekter!$L$3</f>
        <v>1.1910842814023681</v>
      </c>
      <c r="AL290" s="56">
        <f>SUM(Tabell2[[#This Row],[NIBR11-v]:[Inntekt-v]])</f>
        <v>29.353467182676376</v>
      </c>
    </row>
    <row r="291" spans="1:38" x14ac:dyDescent="0.25">
      <c r="A291" s="2" t="s">
        <v>288</v>
      </c>
      <c r="B291">
        <f>'Rådata-K'!M290</f>
        <v>9</v>
      </c>
      <c r="C291" s="7">
        <f>'Rådata-K'!L290</f>
        <v>219.6</v>
      </c>
      <c r="D291" s="34">
        <f>'Rådata-K'!N290</f>
        <v>4.1758100662993742</v>
      </c>
      <c r="E291" s="34">
        <f>'Rådata-K'!O290</f>
        <v>-2.917232021709637E-2</v>
      </c>
      <c r="F291" s="34">
        <f>'Rådata-K'!P290</f>
        <v>9.6575821104122994E-2</v>
      </c>
      <c r="G291" s="34">
        <f>'Rådata-K'!Q290</f>
        <v>0.17274633123689728</v>
      </c>
      <c r="H291" s="34">
        <f>'Rådata-K'!R290</f>
        <v>-4.5108838185156097E-2</v>
      </c>
      <c r="I291" s="34">
        <f>'Rådata-K'!S290</f>
        <v>0.82994861756789817</v>
      </c>
      <c r="J291" s="22">
        <f>'Rådata-K'!K290</f>
        <v>365200</v>
      </c>
      <c r="K291" s="22">
        <f>Tabell2[[#This Row],[NIBR11]]</f>
        <v>9</v>
      </c>
      <c r="L291" s="32">
        <f>IF(Tabell2[[#This Row],[ReisetidOslo]]&lt;=C$434,C$434,IF(Tabell2[[#This Row],[ReisetidOslo]]&gt;=C$435,C$435,Tabell2[[#This Row],[ReisetidOslo]]))</f>
        <v>219.6</v>
      </c>
      <c r="M291" s="32">
        <f>IF(Tabell2[[#This Row],[Beftettotal]]&lt;=D$434,D$434,IF(Tabell2[[#This Row],[Beftettotal]]&gt;=D$435,D$435,Tabell2[[#This Row],[Beftettotal]]))</f>
        <v>4.1758100662993742</v>
      </c>
      <c r="N291" s="34">
        <f>IF(Tabell2[[#This Row],[Befvekst10]]&lt;=E$434,E$434,IF(Tabell2[[#This Row],[Befvekst10]]&gt;=E$435,E$435,Tabell2[[#This Row],[Befvekst10]]))</f>
        <v>-2.917232021709637E-2</v>
      </c>
      <c r="O291" s="34">
        <f>IF(Tabell2[[#This Row],[Kvinneandel]]&lt;=F$434,F$434,IF(Tabell2[[#This Row],[Kvinneandel]]&gt;=F$435,F$435,Tabell2[[#This Row],[Kvinneandel]]))</f>
        <v>9.6575821104122994E-2</v>
      </c>
      <c r="P291" s="34">
        <f>IF(Tabell2[[#This Row],[Eldreandel]]&lt;=G$434,G$434,IF(Tabell2[[#This Row],[Eldreandel]]&gt;=G$435,G$435,Tabell2[[#This Row],[Eldreandel]]))</f>
        <v>0.17274633123689728</v>
      </c>
      <c r="Q291" s="34">
        <f>IF(Tabell2[[#This Row],[Sysselsettingsvekst10]]&lt;=H$434,H$434,IF(Tabell2[[#This Row],[Sysselsettingsvekst10]]&gt;=H$435,H$435,Tabell2[[#This Row],[Sysselsettingsvekst10]]))</f>
        <v>-4.5108838185156097E-2</v>
      </c>
      <c r="R291" s="34">
        <f>IF(Tabell2[[#This Row],[Yrkesaktivandel]]&lt;=I$434,I$434,IF(Tabell2[[#This Row],[Yrkesaktivandel]]&gt;=I$435,I$435,Tabell2[[#This Row],[Yrkesaktivandel]]))</f>
        <v>0.83197552842263423</v>
      </c>
      <c r="S291" s="22">
        <f>IF(Tabell2[[#This Row],[Inntekt]]&lt;=J$434,J$434,IF(Tabell2[[#This Row],[Inntekt]]&gt;=J$435,J$435,Tabell2[[#This Row],[Inntekt]]))</f>
        <v>365200</v>
      </c>
      <c r="T291" s="22">
        <f>IF(Tabell2[[#This Row],[NIBR11-T]]&lt;=K$437,100,IF(Tabell2[[#This Row],[NIBR11-T]]&gt;=K$436,0,100*(K$436-Tabell2[[#This Row],[NIBR11-T]])/K$439))</f>
        <v>20</v>
      </c>
      <c r="U291" s="7">
        <f>IF(Tabell2[[#This Row],[ReisetidOslo-T]]&lt;=L$437,100,IF(Tabell2[[#This Row],[ReisetidOslo-T]]&gt;=L$436,0,100*(L$436-Tabell2[[#This Row],[ReisetidOslo-T]])/L$439))</f>
        <v>26.701279707502938</v>
      </c>
      <c r="V291" s="7">
        <f>100-(M$436-Tabell2[[#This Row],[Beftettotal-T]])*100/M$439</f>
        <v>2.2016117898636196</v>
      </c>
      <c r="W291" s="7">
        <f>100-(N$436-Tabell2[[#This Row],[Befvekst10-T]])*100/N$439</f>
        <v>18.933515364402737</v>
      </c>
      <c r="X291" s="7">
        <f>100-(O$436-Tabell2[[#This Row],[Kvinneandel-T]])*100/O$439</f>
        <v>16.081148560712833</v>
      </c>
      <c r="Y291" s="7">
        <f>(P$436-Tabell2[[#This Row],[Eldreandel-T]])*100/P$439</f>
        <v>45.6255731532952</v>
      </c>
      <c r="Z291" s="7">
        <f>100-(Q$436-Tabell2[[#This Row],[Sysselsettingsvekst10-T]])*100/Q$439</f>
        <v>7.3268380056617133</v>
      </c>
      <c r="AA291" s="7">
        <f>100-(R$436-Tabell2[[#This Row],[Yrkesaktivandel-T]])*100/R$439</f>
        <v>0</v>
      </c>
      <c r="AB291" s="7">
        <f>100-(S$436-Tabell2[[#This Row],[Inntekt-T]])*100/S$439</f>
        <v>38.959832830276298</v>
      </c>
      <c r="AC291" s="55">
        <f>Tabell2[[#This Row],[NIBR11-I]]*Vekter!$B$3</f>
        <v>4</v>
      </c>
      <c r="AD291" s="55">
        <f>Tabell2[[#This Row],[ReisetidOslo-I]]*Vekter!$C$3</f>
        <v>2.6701279707502938</v>
      </c>
      <c r="AE291" s="55">
        <f>Tabell2[[#This Row],[Beftettotal-I]]*Vekter!$D$3</f>
        <v>0.22016117898636198</v>
      </c>
      <c r="AF291" s="55">
        <f>Tabell2[[#This Row],[Befvekst10-I]]*Vekter!$E$3</f>
        <v>3.7867030728805475</v>
      </c>
      <c r="AG291" s="55">
        <f>Tabell2[[#This Row],[Kvinneandel-I]]*Vekter!$F$3</f>
        <v>0.80405742803564173</v>
      </c>
      <c r="AH291" s="55">
        <f>Tabell2[[#This Row],[Eldreandel-I]]*Vekter!$G$3</f>
        <v>2.2812786576647599</v>
      </c>
      <c r="AI291" s="55">
        <f>Tabell2[[#This Row],[Sysselsettingsvekst10-I]]*Vekter!$H$3</f>
        <v>0.73268380056617133</v>
      </c>
      <c r="AJ291" s="55">
        <f>Tabell2[[#This Row],[Yrkesaktivandel-I]]*Vekter!$J$3</f>
        <v>0</v>
      </c>
      <c r="AK291" s="55">
        <f>Tabell2[[#This Row],[Inntekt-I]]*Vekter!$L$3</f>
        <v>3.89598328302763</v>
      </c>
      <c r="AL291" s="56">
        <f>SUM(Tabell2[[#This Row],[NIBR11-v]:[Inntekt-v]])</f>
        <v>18.390995391911407</v>
      </c>
    </row>
    <row r="292" spans="1:38" x14ac:dyDescent="0.25">
      <c r="A292" s="2" t="s">
        <v>289</v>
      </c>
      <c r="B292">
        <f>'Rådata-K'!M291</f>
        <v>9</v>
      </c>
      <c r="C292" s="7">
        <f>'Rådata-K'!L291</f>
        <v>242.6666666667</v>
      </c>
      <c r="D292" s="34">
        <f>'Rådata-K'!N291</f>
        <v>4.3770279277233746</v>
      </c>
      <c r="E292" s="34">
        <f>'Rådata-K'!O291</f>
        <v>-2.9870129870129825E-2</v>
      </c>
      <c r="F292" s="34">
        <f>'Rådata-K'!P291</f>
        <v>9.7891566265060237E-2</v>
      </c>
      <c r="G292" s="34">
        <f>'Rådata-K'!Q291</f>
        <v>0.18457161981258366</v>
      </c>
      <c r="H292" s="34">
        <f>'Rådata-K'!R291</f>
        <v>3.4231609613984082E-2</v>
      </c>
      <c r="I292" s="34">
        <f>'Rådata-K'!S291</f>
        <v>0.91779993955877903</v>
      </c>
      <c r="J292" s="22">
        <f>'Rådata-K'!K291</f>
        <v>343800</v>
      </c>
      <c r="K292" s="22">
        <f>Tabell2[[#This Row],[NIBR11]]</f>
        <v>9</v>
      </c>
      <c r="L292" s="32">
        <f>IF(Tabell2[[#This Row],[ReisetidOslo]]&lt;=C$434,C$434,IF(Tabell2[[#This Row],[ReisetidOslo]]&gt;=C$435,C$435,Tabell2[[#This Row],[ReisetidOslo]]))</f>
        <v>242.6666666667</v>
      </c>
      <c r="M292" s="32">
        <f>IF(Tabell2[[#This Row],[Beftettotal]]&lt;=D$434,D$434,IF(Tabell2[[#This Row],[Beftettotal]]&gt;=D$435,D$435,Tabell2[[#This Row],[Beftettotal]]))</f>
        <v>4.3770279277233746</v>
      </c>
      <c r="N292" s="34">
        <f>IF(Tabell2[[#This Row],[Befvekst10]]&lt;=E$434,E$434,IF(Tabell2[[#This Row],[Befvekst10]]&gt;=E$435,E$435,Tabell2[[#This Row],[Befvekst10]]))</f>
        <v>-2.9870129870129825E-2</v>
      </c>
      <c r="O292" s="34">
        <f>IF(Tabell2[[#This Row],[Kvinneandel]]&lt;=F$434,F$434,IF(Tabell2[[#This Row],[Kvinneandel]]&gt;=F$435,F$435,Tabell2[[#This Row],[Kvinneandel]]))</f>
        <v>9.7891566265060237E-2</v>
      </c>
      <c r="P292" s="34">
        <f>IF(Tabell2[[#This Row],[Eldreandel]]&lt;=G$434,G$434,IF(Tabell2[[#This Row],[Eldreandel]]&gt;=G$435,G$435,Tabell2[[#This Row],[Eldreandel]]))</f>
        <v>0.18457161981258366</v>
      </c>
      <c r="Q292" s="34">
        <f>IF(Tabell2[[#This Row],[Sysselsettingsvekst10]]&lt;=H$434,H$434,IF(Tabell2[[#This Row],[Sysselsettingsvekst10]]&gt;=H$435,H$435,Tabell2[[#This Row],[Sysselsettingsvekst10]]))</f>
        <v>3.4231609613984082E-2</v>
      </c>
      <c r="R292" s="34">
        <f>IF(Tabell2[[#This Row],[Yrkesaktivandel]]&lt;=I$434,I$434,IF(Tabell2[[#This Row],[Yrkesaktivandel]]&gt;=I$435,I$435,Tabell2[[#This Row],[Yrkesaktivandel]]))</f>
        <v>0.91779993955877903</v>
      </c>
      <c r="S292" s="22">
        <f>IF(Tabell2[[#This Row],[Inntekt]]&lt;=J$434,J$434,IF(Tabell2[[#This Row],[Inntekt]]&gt;=J$435,J$435,Tabell2[[#This Row],[Inntekt]]))</f>
        <v>343800</v>
      </c>
      <c r="T292" s="22">
        <f>IF(Tabell2[[#This Row],[NIBR11-T]]&lt;=K$437,100,IF(Tabell2[[#This Row],[NIBR11-T]]&gt;=K$436,0,100*(K$436-Tabell2[[#This Row],[NIBR11-T]])/K$439))</f>
        <v>20</v>
      </c>
      <c r="U292" s="7">
        <f>IF(Tabell2[[#This Row],[ReisetidOslo-T]]&lt;=L$437,100,IF(Tabell2[[#This Row],[ReisetidOslo-T]]&gt;=L$436,0,100*(L$436-Tabell2[[#This Row],[ReisetidOslo-T]])/L$439))</f>
        <v>16.580621572205985</v>
      </c>
      <c r="V292" s="7">
        <f>100-(M$436-Tabell2[[#This Row],[Beftettotal-T]])*100/M$439</f>
        <v>2.3572680478044248</v>
      </c>
      <c r="W292" s="7">
        <f>100-(N$436-Tabell2[[#This Row],[Befvekst10-T]])*100/N$439</f>
        <v>18.652551690210714</v>
      </c>
      <c r="X292" s="7">
        <f>100-(O$436-Tabell2[[#This Row],[Kvinneandel-T]])*100/O$439</f>
        <v>19.557980766817224</v>
      </c>
      <c r="Y292" s="7">
        <f>(P$436-Tabell2[[#This Row],[Eldreandel-T]])*100/P$439</f>
        <v>32.667990274632444</v>
      </c>
      <c r="Z292" s="7">
        <f>100-(Q$436-Tabell2[[#This Row],[Sysselsettingsvekst10-T]])*100/Q$439</f>
        <v>30.933866621024023</v>
      </c>
      <c r="AA292" s="7">
        <f>100-(R$436-Tabell2[[#This Row],[Yrkesaktivandel-T]])*100/R$439</f>
        <v>65.98968156144872</v>
      </c>
      <c r="AB292" s="7">
        <f>100-(S$436-Tabell2[[#This Row],[Inntekt-T]])*100/S$439</f>
        <v>14.116554446250291</v>
      </c>
      <c r="AC292" s="55">
        <f>Tabell2[[#This Row],[NIBR11-I]]*Vekter!$B$3</f>
        <v>4</v>
      </c>
      <c r="AD292" s="55">
        <f>Tabell2[[#This Row],[ReisetidOslo-I]]*Vekter!$C$3</f>
        <v>1.6580621572205985</v>
      </c>
      <c r="AE292" s="55">
        <f>Tabell2[[#This Row],[Beftettotal-I]]*Vekter!$D$3</f>
        <v>0.2357268047804425</v>
      </c>
      <c r="AF292" s="55">
        <f>Tabell2[[#This Row],[Befvekst10-I]]*Vekter!$E$3</f>
        <v>3.7305103380421429</v>
      </c>
      <c r="AG292" s="55">
        <f>Tabell2[[#This Row],[Kvinneandel-I]]*Vekter!$F$3</f>
        <v>0.97789903834086123</v>
      </c>
      <c r="AH292" s="55">
        <f>Tabell2[[#This Row],[Eldreandel-I]]*Vekter!$G$3</f>
        <v>1.6333995137316224</v>
      </c>
      <c r="AI292" s="55">
        <f>Tabell2[[#This Row],[Sysselsettingsvekst10-I]]*Vekter!$H$3</f>
        <v>3.0933866621024024</v>
      </c>
      <c r="AJ292" s="55">
        <f>Tabell2[[#This Row],[Yrkesaktivandel-I]]*Vekter!$J$3</f>
        <v>6.5989681561448723</v>
      </c>
      <c r="AK292" s="55">
        <f>Tabell2[[#This Row],[Inntekt-I]]*Vekter!$L$3</f>
        <v>1.4116554446250291</v>
      </c>
      <c r="AL292" s="56">
        <f>SUM(Tabell2[[#This Row],[NIBR11-v]:[Inntekt-v]])</f>
        <v>23.339608114987971</v>
      </c>
    </row>
    <row r="293" spans="1:38" x14ac:dyDescent="0.25">
      <c r="A293" s="2" t="s">
        <v>290</v>
      </c>
      <c r="B293">
        <f>'Rådata-K'!M292</f>
        <v>9</v>
      </c>
      <c r="C293" s="7">
        <f>'Rådata-K'!L292</f>
        <v>252.3166666667</v>
      </c>
      <c r="D293" s="34">
        <f>'Rådata-K'!N292</f>
        <v>3.2255511767405793</v>
      </c>
      <c r="E293" s="34">
        <f>'Rådata-K'!O292</f>
        <v>-2.9985721085197481E-2</v>
      </c>
      <c r="F293" s="34">
        <f>'Rådata-K'!P292</f>
        <v>9.6663395485770368E-2</v>
      </c>
      <c r="G293" s="34">
        <f>'Rådata-K'!Q292</f>
        <v>0.20314033366045142</v>
      </c>
      <c r="H293" s="34">
        <f>'Rådata-K'!R292</f>
        <v>-5.3937432578209377E-3</v>
      </c>
      <c r="I293" s="34">
        <f>'Rådata-K'!S292</f>
        <v>0.99715909090909094</v>
      </c>
      <c r="J293" s="22">
        <f>'Rådata-K'!K292</f>
        <v>347400</v>
      </c>
      <c r="K293" s="22">
        <f>Tabell2[[#This Row],[NIBR11]]</f>
        <v>9</v>
      </c>
      <c r="L293" s="32">
        <f>IF(Tabell2[[#This Row],[ReisetidOslo]]&lt;=C$434,C$434,IF(Tabell2[[#This Row],[ReisetidOslo]]&gt;=C$435,C$435,Tabell2[[#This Row],[ReisetidOslo]]))</f>
        <v>252.3166666667</v>
      </c>
      <c r="M293" s="32">
        <f>IF(Tabell2[[#This Row],[Beftettotal]]&lt;=D$434,D$434,IF(Tabell2[[#This Row],[Beftettotal]]&gt;=D$435,D$435,Tabell2[[#This Row],[Beftettotal]]))</f>
        <v>3.2255511767405793</v>
      </c>
      <c r="N293" s="34">
        <f>IF(Tabell2[[#This Row],[Befvekst10]]&lt;=E$434,E$434,IF(Tabell2[[#This Row],[Befvekst10]]&gt;=E$435,E$435,Tabell2[[#This Row],[Befvekst10]]))</f>
        <v>-2.9985721085197481E-2</v>
      </c>
      <c r="O293" s="34">
        <f>IF(Tabell2[[#This Row],[Kvinneandel]]&lt;=F$434,F$434,IF(Tabell2[[#This Row],[Kvinneandel]]&gt;=F$435,F$435,Tabell2[[#This Row],[Kvinneandel]]))</f>
        <v>9.6663395485770368E-2</v>
      </c>
      <c r="P293" s="34">
        <f>IF(Tabell2[[#This Row],[Eldreandel]]&lt;=G$434,G$434,IF(Tabell2[[#This Row],[Eldreandel]]&gt;=G$435,G$435,Tabell2[[#This Row],[Eldreandel]]))</f>
        <v>0.20314033366045142</v>
      </c>
      <c r="Q293" s="34">
        <f>IF(Tabell2[[#This Row],[Sysselsettingsvekst10]]&lt;=H$434,H$434,IF(Tabell2[[#This Row],[Sysselsettingsvekst10]]&gt;=H$435,H$435,Tabell2[[#This Row],[Sysselsettingsvekst10]]))</f>
        <v>-5.3937432578209377E-3</v>
      </c>
      <c r="R293" s="34">
        <f>IF(Tabell2[[#This Row],[Yrkesaktivandel]]&lt;=I$434,I$434,IF(Tabell2[[#This Row],[Yrkesaktivandel]]&gt;=I$435,I$435,Tabell2[[#This Row],[Yrkesaktivandel]]))</f>
        <v>0.96203284815106216</v>
      </c>
      <c r="S293" s="22">
        <f>IF(Tabell2[[#This Row],[Inntekt]]&lt;=J$434,J$434,IF(Tabell2[[#This Row],[Inntekt]]&gt;=J$435,J$435,Tabell2[[#This Row],[Inntekt]]))</f>
        <v>347400</v>
      </c>
      <c r="T293" s="22">
        <f>IF(Tabell2[[#This Row],[NIBR11-T]]&lt;=K$437,100,IF(Tabell2[[#This Row],[NIBR11-T]]&gt;=K$436,0,100*(K$436-Tabell2[[#This Row],[NIBR11-T]])/K$439))</f>
        <v>20</v>
      </c>
      <c r="U293" s="7">
        <f>IF(Tabell2[[#This Row],[ReisetidOslo-T]]&lt;=L$437,100,IF(Tabell2[[#This Row],[ReisetidOslo-T]]&gt;=L$436,0,100*(L$436-Tabell2[[#This Row],[ReisetidOslo-T]])/L$439))</f>
        <v>12.346617915899287</v>
      </c>
      <c r="V293" s="7">
        <f>100-(M$436-Tabell2[[#This Row],[Beftettotal-T]])*100/M$439</f>
        <v>1.4665192798004654</v>
      </c>
      <c r="W293" s="7">
        <f>100-(N$436-Tabell2[[#This Row],[Befvekst10-T]])*100/N$439</f>
        <v>18.60601044167889</v>
      </c>
      <c r="X293" s="7">
        <f>100-(O$436-Tabell2[[#This Row],[Kvinneandel-T]])*100/O$439</f>
        <v>16.312562241401849</v>
      </c>
      <c r="Y293" s="7">
        <f>(P$436-Tabell2[[#This Row],[Eldreandel-T]])*100/P$439</f>
        <v>12.321286082683898</v>
      </c>
      <c r="Z293" s="7">
        <f>100-(Q$436-Tabell2[[#This Row],[Sysselsettingsvekst10-T]])*100/Q$439</f>
        <v>19.143703279537718</v>
      </c>
      <c r="AA293" s="7">
        <f>100-(R$436-Tabell2[[#This Row],[Yrkesaktivandel-T]])*100/R$439</f>
        <v>100</v>
      </c>
      <c r="AB293" s="7">
        <f>100-(S$436-Tabell2[[#This Row],[Inntekt-T]])*100/S$439</f>
        <v>18.295797538890184</v>
      </c>
      <c r="AC293" s="55">
        <f>Tabell2[[#This Row],[NIBR11-I]]*Vekter!$B$3</f>
        <v>4</v>
      </c>
      <c r="AD293" s="55">
        <f>Tabell2[[#This Row],[ReisetidOslo-I]]*Vekter!$C$3</f>
        <v>1.2346617915899287</v>
      </c>
      <c r="AE293" s="55">
        <f>Tabell2[[#This Row],[Beftettotal-I]]*Vekter!$D$3</f>
        <v>0.14665192798004653</v>
      </c>
      <c r="AF293" s="55">
        <f>Tabell2[[#This Row],[Befvekst10-I]]*Vekter!$E$3</f>
        <v>3.7212020883357781</v>
      </c>
      <c r="AG293" s="55">
        <f>Tabell2[[#This Row],[Kvinneandel-I]]*Vekter!$F$3</f>
        <v>0.81562811207009256</v>
      </c>
      <c r="AH293" s="55">
        <f>Tabell2[[#This Row],[Eldreandel-I]]*Vekter!$G$3</f>
        <v>0.61606430413419488</v>
      </c>
      <c r="AI293" s="55">
        <f>Tabell2[[#This Row],[Sysselsettingsvekst10-I]]*Vekter!$H$3</f>
        <v>1.9143703279537718</v>
      </c>
      <c r="AJ293" s="55">
        <f>Tabell2[[#This Row],[Yrkesaktivandel-I]]*Vekter!$J$3</f>
        <v>10</v>
      </c>
      <c r="AK293" s="55">
        <f>Tabell2[[#This Row],[Inntekt-I]]*Vekter!$L$3</f>
        <v>1.8295797538890186</v>
      </c>
      <c r="AL293" s="56">
        <f>SUM(Tabell2[[#This Row],[NIBR11-v]:[Inntekt-v]])</f>
        <v>24.278158305952832</v>
      </c>
    </row>
    <row r="294" spans="1:38" x14ac:dyDescent="0.25">
      <c r="A294" s="2" t="s">
        <v>291</v>
      </c>
      <c r="B294">
        <f>'Rådata-K'!M293</f>
        <v>9</v>
      </c>
      <c r="C294" s="7">
        <f>'Rådata-K'!L293</f>
        <v>221.3</v>
      </c>
      <c r="D294" s="34">
        <f>'Rådata-K'!N293</f>
        <v>5.2008118989784711</v>
      </c>
      <c r="E294" s="34">
        <f>'Rådata-K'!O293</f>
        <v>-7.8962875662934584E-2</v>
      </c>
      <c r="F294" s="34">
        <f>'Rådata-K'!P293</f>
        <v>8.9571337172104928E-2</v>
      </c>
      <c r="G294" s="34">
        <f>'Rådata-K'!Q293</f>
        <v>0.22136916186820219</v>
      </c>
      <c r="H294" s="34">
        <f>'Rådata-K'!R293</f>
        <v>-0.1205479452054794</v>
      </c>
      <c r="I294" s="34">
        <f>'Rådata-K'!S293</f>
        <v>0.93357487922705318</v>
      </c>
      <c r="J294" s="22">
        <f>'Rådata-K'!K293</f>
        <v>348100</v>
      </c>
      <c r="K294" s="22">
        <f>Tabell2[[#This Row],[NIBR11]]</f>
        <v>9</v>
      </c>
      <c r="L294" s="32">
        <f>IF(Tabell2[[#This Row],[ReisetidOslo]]&lt;=C$434,C$434,IF(Tabell2[[#This Row],[ReisetidOslo]]&gt;=C$435,C$435,Tabell2[[#This Row],[ReisetidOslo]]))</f>
        <v>221.3</v>
      </c>
      <c r="M294" s="32">
        <f>IF(Tabell2[[#This Row],[Beftettotal]]&lt;=D$434,D$434,IF(Tabell2[[#This Row],[Beftettotal]]&gt;=D$435,D$435,Tabell2[[#This Row],[Beftettotal]]))</f>
        <v>5.2008118989784711</v>
      </c>
      <c r="N294" s="34">
        <f>IF(Tabell2[[#This Row],[Befvekst10]]&lt;=E$434,E$434,IF(Tabell2[[#This Row],[Befvekst10]]&gt;=E$435,E$435,Tabell2[[#This Row],[Befvekst10]]))</f>
        <v>-7.6196156394963507E-2</v>
      </c>
      <c r="O294" s="34">
        <f>IF(Tabell2[[#This Row],[Kvinneandel]]&lt;=F$434,F$434,IF(Tabell2[[#This Row],[Kvinneandel]]&gt;=F$435,F$435,Tabell2[[#This Row],[Kvinneandel]]))</f>
        <v>9.0490197137593403E-2</v>
      </c>
      <c r="P294" s="34">
        <f>IF(Tabell2[[#This Row],[Eldreandel]]&lt;=G$434,G$434,IF(Tabell2[[#This Row],[Eldreandel]]&gt;=G$435,G$435,Tabell2[[#This Row],[Eldreandel]]))</f>
        <v>0.21438492803547596</v>
      </c>
      <c r="Q294" s="34">
        <f>IF(Tabell2[[#This Row],[Sysselsettingsvekst10]]&lt;=H$434,H$434,IF(Tabell2[[#This Row],[Sysselsettingsvekst10]]&gt;=H$435,H$435,Tabell2[[#This Row],[Sysselsettingsvekst10]]))</f>
        <v>-6.9733479337269061E-2</v>
      </c>
      <c r="R294" s="34">
        <f>IF(Tabell2[[#This Row],[Yrkesaktivandel]]&lt;=I$434,I$434,IF(Tabell2[[#This Row],[Yrkesaktivandel]]&gt;=I$435,I$435,Tabell2[[#This Row],[Yrkesaktivandel]]))</f>
        <v>0.93357487922705318</v>
      </c>
      <c r="S294" s="22">
        <f>IF(Tabell2[[#This Row],[Inntekt]]&lt;=J$434,J$434,IF(Tabell2[[#This Row],[Inntekt]]&gt;=J$435,J$435,Tabell2[[#This Row],[Inntekt]]))</f>
        <v>348100</v>
      </c>
      <c r="T294" s="22">
        <f>IF(Tabell2[[#This Row],[NIBR11-T]]&lt;=K$437,100,IF(Tabell2[[#This Row],[NIBR11-T]]&gt;=K$436,0,100*(K$436-Tabell2[[#This Row],[NIBR11-T]])/K$439))</f>
        <v>20</v>
      </c>
      <c r="U294" s="7">
        <f>IF(Tabell2[[#This Row],[ReisetidOslo-T]]&lt;=L$437,100,IF(Tabell2[[#This Row],[ReisetidOslo-T]]&gt;=L$436,0,100*(L$436-Tabell2[[#This Row],[ReisetidOslo-T]])/L$439))</f>
        <v>25.955393053024032</v>
      </c>
      <c r="V294" s="7">
        <f>100-(M$436-Tabell2[[#This Row],[Beftettotal-T]])*100/M$439</f>
        <v>2.9945232567095132</v>
      </c>
      <c r="W294" s="7">
        <f>100-(N$436-Tabell2[[#This Row],[Befvekst10-T]])*100/N$439</f>
        <v>0</v>
      </c>
      <c r="X294" s="7">
        <f>100-(O$436-Tabell2[[#This Row],[Kvinneandel-T]])*100/O$439</f>
        <v>0</v>
      </c>
      <c r="Y294" s="7">
        <f>(P$436-Tabell2[[#This Row],[Eldreandel-T]])*100/P$439</f>
        <v>0</v>
      </c>
      <c r="Z294" s="7">
        <f>100-(Q$436-Tabell2[[#This Row],[Sysselsettingsvekst10-T]])*100/Q$439</f>
        <v>0</v>
      </c>
      <c r="AA294" s="7">
        <f>100-(R$436-Tabell2[[#This Row],[Yrkesaktivandel-T]])*100/R$439</f>
        <v>78.118902508961483</v>
      </c>
      <c r="AB294" s="7">
        <f>100-(S$436-Tabell2[[#This Row],[Inntekt-T]])*100/S$439</f>
        <v>19.108428140236825</v>
      </c>
      <c r="AC294" s="55">
        <f>Tabell2[[#This Row],[NIBR11-I]]*Vekter!$B$3</f>
        <v>4</v>
      </c>
      <c r="AD294" s="55">
        <f>Tabell2[[#This Row],[ReisetidOslo-I]]*Vekter!$C$3</f>
        <v>2.5955393053024034</v>
      </c>
      <c r="AE294" s="55">
        <f>Tabell2[[#This Row],[Beftettotal-I]]*Vekter!$D$3</f>
        <v>0.29945232567095131</v>
      </c>
      <c r="AF294" s="55">
        <f>Tabell2[[#This Row],[Befvekst10-I]]*Vekter!$E$3</f>
        <v>0</v>
      </c>
      <c r="AG294" s="55">
        <f>Tabell2[[#This Row],[Kvinneandel-I]]*Vekter!$F$3</f>
        <v>0</v>
      </c>
      <c r="AH294" s="55">
        <f>Tabell2[[#This Row],[Eldreandel-I]]*Vekter!$G$3</f>
        <v>0</v>
      </c>
      <c r="AI294" s="55">
        <f>Tabell2[[#This Row],[Sysselsettingsvekst10-I]]*Vekter!$H$3</f>
        <v>0</v>
      </c>
      <c r="AJ294" s="55">
        <f>Tabell2[[#This Row],[Yrkesaktivandel-I]]*Vekter!$J$3</f>
        <v>7.8118902508961483</v>
      </c>
      <c r="AK294" s="55">
        <f>Tabell2[[#This Row],[Inntekt-I]]*Vekter!$L$3</f>
        <v>1.9108428140236826</v>
      </c>
      <c r="AL294" s="56">
        <f>SUM(Tabell2[[#This Row],[NIBR11-v]:[Inntekt-v]])</f>
        <v>16.617724695893184</v>
      </c>
    </row>
    <row r="295" spans="1:38" x14ac:dyDescent="0.25">
      <c r="A295" s="2" t="s">
        <v>292</v>
      </c>
      <c r="B295">
        <f>'Rådata-K'!M294</f>
        <v>11</v>
      </c>
      <c r="C295" s="7">
        <f>'Rådata-K'!L294</f>
        <v>232.01666666670002</v>
      </c>
      <c r="D295" s="34">
        <f>'Rådata-K'!N294</f>
        <v>7.8923173108749225</v>
      </c>
      <c r="E295" s="34">
        <f>'Rådata-K'!O294</f>
        <v>-2.232346241457861E-2</v>
      </c>
      <c r="F295" s="34">
        <f>'Rådata-K'!P294</f>
        <v>0.10391425908667289</v>
      </c>
      <c r="G295" s="34">
        <f>'Rådata-K'!Q294</f>
        <v>0.20270270270270271</v>
      </c>
      <c r="H295" s="34">
        <f>'Rådata-K'!R294</f>
        <v>0.13114754098360648</v>
      </c>
      <c r="I295" s="34">
        <f>'Rådata-K'!S294</f>
        <v>0.90433360588716272</v>
      </c>
      <c r="J295" s="22">
        <f>'Rådata-K'!K294</f>
        <v>368700</v>
      </c>
      <c r="K295" s="22">
        <f>Tabell2[[#This Row],[NIBR11]]</f>
        <v>11</v>
      </c>
      <c r="L295" s="32">
        <f>IF(Tabell2[[#This Row],[ReisetidOslo]]&lt;=C$434,C$434,IF(Tabell2[[#This Row],[ReisetidOslo]]&gt;=C$435,C$435,Tabell2[[#This Row],[ReisetidOslo]]))</f>
        <v>232.01666666670002</v>
      </c>
      <c r="M295" s="32">
        <f>IF(Tabell2[[#This Row],[Beftettotal]]&lt;=D$434,D$434,IF(Tabell2[[#This Row],[Beftettotal]]&gt;=D$435,D$435,Tabell2[[#This Row],[Beftettotal]]))</f>
        <v>7.8923173108749225</v>
      </c>
      <c r="N295" s="34">
        <f>IF(Tabell2[[#This Row],[Befvekst10]]&lt;=E$434,E$434,IF(Tabell2[[#This Row],[Befvekst10]]&gt;=E$435,E$435,Tabell2[[#This Row],[Befvekst10]]))</f>
        <v>-2.232346241457861E-2</v>
      </c>
      <c r="O295" s="34">
        <f>IF(Tabell2[[#This Row],[Kvinneandel]]&lt;=F$434,F$434,IF(Tabell2[[#This Row],[Kvinneandel]]&gt;=F$435,F$435,Tabell2[[#This Row],[Kvinneandel]]))</f>
        <v>0.10391425908667289</v>
      </c>
      <c r="P295" s="34">
        <f>IF(Tabell2[[#This Row],[Eldreandel]]&lt;=G$434,G$434,IF(Tabell2[[#This Row],[Eldreandel]]&gt;=G$435,G$435,Tabell2[[#This Row],[Eldreandel]]))</f>
        <v>0.20270270270270271</v>
      </c>
      <c r="Q295" s="34">
        <f>IF(Tabell2[[#This Row],[Sysselsettingsvekst10]]&lt;=H$434,H$434,IF(Tabell2[[#This Row],[Sysselsettingsvekst10]]&gt;=H$435,H$435,Tabell2[[#This Row],[Sysselsettingsvekst10]]))</f>
        <v>0.13114754098360648</v>
      </c>
      <c r="R295" s="34">
        <f>IF(Tabell2[[#This Row],[Yrkesaktivandel]]&lt;=I$434,I$434,IF(Tabell2[[#This Row],[Yrkesaktivandel]]&gt;=I$435,I$435,Tabell2[[#This Row],[Yrkesaktivandel]]))</f>
        <v>0.90433360588716272</v>
      </c>
      <c r="S295" s="22">
        <f>IF(Tabell2[[#This Row],[Inntekt]]&lt;=J$434,J$434,IF(Tabell2[[#This Row],[Inntekt]]&gt;=J$435,J$435,Tabell2[[#This Row],[Inntekt]]))</f>
        <v>368700</v>
      </c>
      <c r="T295" s="22">
        <f>IF(Tabell2[[#This Row],[NIBR11-T]]&lt;=K$437,100,IF(Tabell2[[#This Row],[NIBR11-T]]&gt;=K$436,0,100*(K$436-Tabell2[[#This Row],[NIBR11-T]])/K$439))</f>
        <v>0</v>
      </c>
      <c r="U295" s="7">
        <f>IF(Tabell2[[#This Row],[ReisetidOslo-T]]&lt;=L$437,100,IF(Tabell2[[#This Row],[ReisetidOslo-T]]&gt;=L$436,0,100*(L$436-Tabell2[[#This Row],[ReisetidOslo-T]])/L$439))</f>
        <v>21.253382084088496</v>
      </c>
      <c r="V295" s="7">
        <f>100-(M$436-Tabell2[[#This Row],[Beftettotal-T]])*100/M$439</f>
        <v>5.0765931966162441</v>
      </c>
      <c r="W295" s="7">
        <f>100-(N$436-Tabell2[[#This Row],[Befvekst10-T]])*100/N$439</f>
        <v>21.691115870284335</v>
      </c>
      <c r="X295" s="7">
        <f>100-(O$436-Tabell2[[#This Row],[Kvinneandel-T]])*100/O$439</f>
        <v>35.472834943244877</v>
      </c>
      <c r="Y295" s="7">
        <f>(P$436-Tabell2[[#This Row],[Eldreandel-T]])*100/P$439</f>
        <v>12.800821052930345</v>
      </c>
      <c r="Z295" s="7">
        <f>100-(Q$436-Tabell2[[#This Row],[Sysselsettingsvekst10-T]])*100/Q$439</f>
        <v>59.770320518023084</v>
      </c>
      <c r="AA295" s="7">
        <f>100-(R$436-Tabell2[[#This Row],[Yrkesaktivandel-T]])*100/R$439</f>
        <v>55.635528715814722</v>
      </c>
      <c r="AB295" s="7">
        <f>100-(S$436-Tabell2[[#This Row],[Inntekt-T]])*100/S$439</f>
        <v>43.022985837009522</v>
      </c>
      <c r="AC295" s="55">
        <f>Tabell2[[#This Row],[NIBR11-I]]*Vekter!$B$3</f>
        <v>0</v>
      </c>
      <c r="AD295" s="55">
        <f>Tabell2[[#This Row],[ReisetidOslo-I]]*Vekter!$C$3</f>
        <v>2.1253382084088499</v>
      </c>
      <c r="AE295" s="55">
        <f>Tabell2[[#This Row],[Beftettotal-I]]*Vekter!$D$3</f>
        <v>0.50765931966162448</v>
      </c>
      <c r="AF295" s="55">
        <f>Tabell2[[#This Row],[Befvekst10-I]]*Vekter!$E$3</f>
        <v>4.3382231740568669</v>
      </c>
      <c r="AG295" s="55">
        <f>Tabell2[[#This Row],[Kvinneandel-I]]*Vekter!$F$3</f>
        <v>1.7736417471622439</v>
      </c>
      <c r="AH295" s="55">
        <f>Tabell2[[#This Row],[Eldreandel-I]]*Vekter!$G$3</f>
        <v>0.64004105264651734</v>
      </c>
      <c r="AI295" s="55">
        <f>Tabell2[[#This Row],[Sysselsettingsvekst10-I]]*Vekter!$H$3</f>
        <v>5.9770320518023086</v>
      </c>
      <c r="AJ295" s="55">
        <f>Tabell2[[#This Row],[Yrkesaktivandel-I]]*Vekter!$J$3</f>
        <v>5.5635528715814724</v>
      </c>
      <c r="AK295" s="55">
        <f>Tabell2[[#This Row],[Inntekt-I]]*Vekter!$L$3</f>
        <v>4.302298583700952</v>
      </c>
      <c r="AL295" s="56">
        <f>SUM(Tabell2[[#This Row],[NIBR11-v]:[Inntekt-v]])</f>
        <v>25.227787009020837</v>
      </c>
    </row>
    <row r="296" spans="1:38" x14ac:dyDescent="0.25">
      <c r="A296" s="2" t="s">
        <v>293</v>
      </c>
      <c r="B296">
        <f>'Rådata-K'!M295</f>
        <v>11</v>
      </c>
      <c r="C296" s="7">
        <f>'Rådata-K'!L295</f>
        <v>221.71666666670001</v>
      </c>
      <c r="D296" s="34">
        <f>'Rådata-K'!N295</f>
        <v>5.5334674213012773</v>
      </c>
      <c r="E296" s="34">
        <f>'Rådata-K'!O295</f>
        <v>-2.1235521235521193E-2</v>
      </c>
      <c r="F296" s="34">
        <f>'Rådata-K'!P295</f>
        <v>9.1575091575091569E-2</v>
      </c>
      <c r="G296" s="34">
        <f>'Rådata-K'!Q295</f>
        <v>0.19611158072696533</v>
      </c>
      <c r="H296" s="34">
        <f>'Rådata-K'!R295</f>
        <v>2.8814669286182149E-2</v>
      </c>
      <c r="I296" s="34">
        <f>'Rådata-K'!S295</f>
        <v>0.91364333163004596</v>
      </c>
      <c r="J296" s="22">
        <f>'Rådata-K'!K295</f>
        <v>365300</v>
      </c>
      <c r="K296" s="22">
        <f>Tabell2[[#This Row],[NIBR11]]</f>
        <v>11</v>
      </c>
      <c r="L296" s="32">
        <f>IF(Tabell2[[#This Row],[ReisetidOslo]]&lt;=C$434,C$434,IF(Tabell2[[#This Row],[ReisetidOslo]]&gt;=C$435,C$435,Tabell2[[#This Row],[ReisetidOslo]]))</f>
        <v>221.71666666670001</v>
      </c>
      <c r="M296" s="32">
        <f>IF(Tabell2[[#This Row],[Beftettotal]]&lt;=D$434,D$434,IF(Tabell2[[#This Row],[Beftettotal]]&gt;=D$435,D$435,Tabell2[[#This Row],[Beftettotal]]))</f>
        <v>5.5334674213012773</v>
      </c>
      <c r="N296" s="34">
        <f>IF(Tabell2[[#This Row],[Befvekst10]]&lt;=E$434,E$434,IF(Tabell2[[#This Row],[Befvekst10]]&gt;=E$435,E$435,Tabell2[[#This Row],[Befvekst10]]))</f>
        <v>-2.1235521235521193E-2</v>
      </c>
      <c r="O296" s="34">
        <f>IF(Tabell2[[#This Row],[Kvinneandel]]&lt;=F$434,F$434,IF(Tabell2[[#This Row],[Kvinneandel]]&gt;=F$435,F$435,Tabell2[[#This Row],[Kvinneandel]]))</f>
        <v>9.1575091575091569E-2</v>
      </c>
      <c r="P296" s="34">
        <f>IF(Tabell2[[#This Row],[Eldreandel]]&lt;=G$434,G$434,IF(Tabell2[[#This Row],[Eldreandel]]&gt;=G$435,G$435,Tabell2[[#This Row],[Eldreandel]]))</f>
        <v>0.19611158072696533</v>
      </c>
      <c r="Q296" s="34">
        <f>IF(Tabell2[[#This Row],[Sysselsettingsvekst10]]&lt;=H$434,H$434,IF(Tabell2[[#This Row],[Sysselsettingsvekst10]]&gt;=H$435,H$435,Tabell2[[#This Row],[Sysselsettingsvekst10]]))</f>
        <v>2.8814669286182149E-2</v>
      </c>
      <c r="R296" s="34">
        <f>IF(Tabell2[[#This Row],[Yrkesaktivandel]]&lt;=I$434,I$434,IF(Tabell2[[#This Row],[Yrkesaktivandel]]&gt;=I$435,I$435,Tabell2[[#This Row],[Yrkesaktivandel]]))</f>
        <v>0.91364333163004596</v>
      </c>
      <c r="S296" s="22">
        <f>IF(Tabell2[[#This Row],[Inntekt]]&lt;=J$434,J$434,IF(Tabell2[[#This Row],[Inntekt]]&gt;=J$435,J$435,Tabell2[[#This Row],[Inntekt]]))</f>
        <v>365300</v>
      </c>
      <c r="T296" s="22">
        <f>IF(Tabell2[[#This Row],[NIBR11-T]]&lt;=K$437,100,IF(Tabell2[[#This Row],[NIBR11-T]]&gt;=K$436,0,100*(K$436-Tabell2[[#This Row],[NIBR11-T]])/K$439))</f>
        <v>0</v>
      </c>
      <c r="U296" s="7">
        <f>IF(Tabell2[[#This Row],[ReisetidOslo-T]]&lt;=L$437,100,IF(Tabell2[[#This Row],[ReisetidOslo-T]]&gt;=L$436,0,100*(L$436-Tabell2[[#This Row],[ReisetidOslo-T]])/L$439))</f>
        <v>25.77257769651948</v>
      </c>
      <c r="V296" s="7">
        <f>100-(M$436-Tabell2[[#This Row],[Beftettotal-T]])*100/M$439</f>
        <v>3.2518558484668745</v>
      </c>
      <c r="W296" s="7">
        <f>100-(N$436-Tabell2[[#This Row],[Befvekst10-T]])*100/N$439</f>
        <v>22.129160757803419</v>
      </c>
      <c r="X296" s="7">
        <f>100-(O$436-Tabell2[[#This Row],[Kvinneandel-T]])*100/O$439</f>
        <v>2.8668134472409719</v>
      </c>
      <c r="Y296" s="7">
        <f>(P$436-Tabell2[[#This Row],[Eldreandel-T]])*100/P$439</f>
        <v>20.023055733916589</v>
      </c>
      <c r="Z296" s="7">
        <f>100-(Q$436-Tabell2[[#This Row],[Sysselsettingsvekst10-T]])*100/Q$439</f>
        <v>29.322105295327091</v>
      </c>
      <c r="AA296" s="7">
        <f>100-(R$436-Tabell2[[#This Row],[Yrkesaktivandel-T]])*100/R$439</f>
        <v>62.7937000223762</v>
      </c>
      <c r="AB296" s="7">
        <f>100-(S$436-Tabell2[[#This Row],[Inntekt-T]])*100/S$439</f>
        <v>39.075922916182961</v>
      </c>
      <c r="AC296" s="55">
        <f>Tabell2[[#This Row],[NIBR11-I]]*Vekter!$B$3</f>
        <v>0</v>
      </c>
      <c r="AD296" s="55">
        <f>Tabell2[[#This Row],[ReisetidOslo-I]]*Vekter!$C$3</f>
        <v>2.5772577696519483</v>
      </c>
      <c r="AE296" s="55">
        <f>Tabell2[[#This Row],[Beftettotal-I]]*Vekter!$D$3</f>
        <v>0.32518558484668747</v>
      </c>
      <c r="AF296" s="55">
        <f>Tabell2[[#This Row],[Befvekst10-I]]*Vekter!$E$3</f>
        <v>4.4258321515606838</v>
      </c>
      <c r="AG296" s="55">
        <f>Tabell2[[#This Row],[Kvinneandel-I]]*Vekter!$F$3</f>
        <v>0.14334067236204859</v>
      </c>
      <c r="AH296" s="55">
        <f>Tabell2[[#This Row],[Eldreandel-I]]*Vekter!$G$3</f>
        <v>1.0011527866958294</v>
      </c>
      <c r="AI296" s="55">
        <f>Tabell2[[#This Row],[Sysselsettingsvekst10-I]]*Vekter!$H$3</f>
        <v>2.9322105295327092</v>
      </c>
      <c r="AJ296" s="55">
        <f>Tabell2[[#This Row],[Yrkesaktivandel-I]]*Vekter!$J$3</f>
        <v>6.27937000223762</v>
      </c>
      <c r="AK296" s="55">
        <f>Tabell2[[#This Row],[Inntekt-I]]*Vekter!$L$3</f>
        <v>3.9075922916182964</v>
      </c>
      <c r="AL296" s="56">
        <f>SUM(Tabell2[[#This Row],[NIBR11-v]:[Inntekt-v]])</f>
        <v>21.591941788505824</v>
      </c>
    </row>
    <row r="297" spans="1:38" x14ac:dyDescent="0.25">
      <c r="A297" s="2" t="s">
        <v>294</v>
      </c>
      <c r="B297">
        <f>'Rådata-K'!M296</f>
        <v>2</v>
      </c>
      <c r="C297" s="7">
        <f>'Rådata-K'!L296</f>
        <v>179.28333333329999</v>
      </c>
      <c r="D297" s="34">
        <f>'Rådata-K'!N296</f>
        <v>542.10264075734926</v>
      </c>
      <c r="E297" s="34">
        <f>'Rådata-K'!O296</f>
        <v>0.18441864486011239</v>
      </c>
      <c r="F297" s="34">
        <f>'Rådata-K'!P296</f>
        <v>0.1542279411764706</v>
      </c>
      <c r="G297" s="34">
        <f>'Rådata-K'!Q296</f>
        <v>0.11812824394463668</v>
      </c>
      <c r="H297" s="34">
        <f>'Rådata-K'!R296</f>
        <v>0.21464316450451015</v>
      </c>
      <c r="I297" s="34">
        <f>'Rådata-K'!S296</f>
        <v>0.84433647545891566</v>
      </c>
      <c r="J297" s="22">
        <f>'Rådata-K'!K296</f>
        <v>407500</v>
      </c>
      <c r="K297" s="22">
        <f>Tabell2[[#This Row],[NIBR11]]</f>
        <v>2</v>
      </c>
      <c r="L297" s="32">
        <f>IF(Tabell2[[#This Row],[ReisetidOslo]]&lt;=C$434,C$434,IF(Tabell2[[#This Row],[ReisetidOslo]]&gt;=C$435,C$435,Tabell2[[#This Row],[ReisetidOslo]]))</f>
        <v>179.28333333329999</v>
      </c>
      <c r="M297" s="32">
        <f>IF(Tabell2[[#This Row],[Beftettotal]]&lt;=D$434,D$434,IF(Tabell2[[#This Row],[Beftettotal]]&gt;=D$435,D$435,Tabell2[[#This Row],[Beftettotal]]))</f>
        <v>130.60042534801397</v>
      </c>
      <c r="N297" s="34">
        <f>IF(Tabell2[[#This Row],[Befvekst10]]&lt;=E$434,E$434,IF(Tabell2[[#This Row],[Befvekst10]]&gt;=E$435,E$435,Tabell2[[#This Row],[Befvekst10]]))</f>
        <v>0.17216678769030419</v>
      </c>
      <c r="O297" s="34">
        <f>IF(Tabell2[[#This Row],[Kvinneandel]]&lt;=F$434,F$434,IF(Tabell2[[#This Row],[Kvinneandel]]&gt;=F$435,F$435,Tabell2[[#This Row],[Kvinneandel]]))</f>
        <v>0.12833341426573511</v>
      </c>
      <c r="P297" s="34">
        <f>IF(Tabell2[[#This Row],[Eldreandel]]&lt;=G$434,G$434,IF(Tabell2[[#This Row],[Eldreandel]]&gt;=G$435,G$435,Tabell2[[#This Row],[Eldreandel]]))</f>
        <v>0.12312339657223466</v>
      </c>
      <c r="Q297" s="34">
        <f>IF(Tabell2[[#This Row],[Sysselsettingsvekst10]]&lt;=H$434,H$434,IF(Tabell2[[#This Row],[Sysselsettingsvekst10]]&gt;=H$435,H$435,Tabell2[[#This Row],[Sysselsettingsvekst10]]))</f>
        <v>0.21464316450451015</v>
      </c>
      <c r="R297" s="34">
        <f>IF(Tabell2[[#This Row],[Yrkesaktivandel]]&lt;=I$434,I$434,IF(Tabell2[[#This Row],[Yrkesaktivandel]]&gt;=I$435,I$435,Tabell2[[#This Row],[Yrkesaktivandel]]))</f>
        <v>0.84433647545891566</v>
      </c>
      <c r="S297" s="22">
        <f>IF(Tabell2[[#This Row],[Inntekt]]&lt;=J$434,J$434,IF(Tabell2[[#This Row],[Inntekt]]&gt;=J$435,J$435,Tabell2[[#This Row],[Inntekt]]))</f>
        <v>407500</v>
      </c>
      <c r="T297" s="22">
        <f>IF(Tabell2[[#This Row],[NIBR11-T]]&lt;=K$437,100,IF(Tabell2[[#This Row],[NIBR11-T]]&gt;=K$436,0,100*(K$436-Tabell2[[#This Row],[NIBR11-T]])/K$439))</f>
        <v>90</v>
      </c>
      <c r="U297" s="7">
        <f>IF(Tabell2[[#This Row],[ReisetidOslo-T]]&lt;=L$437,100,IF(Tabell2[[#This Row],[ReisetidOslo-T]]&gt;=L$436,0,100*(L$436-Tabell2[[#This Row],[ReisetidOslo-T]])/L$439))</f>
        <v>44.390493601482845</v>
      </c>
      <c r="V297" s="7">
        <f>100-(M$436-Tabell2[[#This Row],[Beftettotal-T]])*100/M$439</f>
        <v>100</v>
      </c>
      <c r="W297" s="7">
        <f>100-(N$436-Tabell2[[#This Row],[Befvekst10-T]])*100/N$439</f>
        <v>100</v>
      </c>
      <c r="X297" s="7">
        <f>100-(O$436-Tabell2[[#This Row],[Kvinneandel-T]])*100/O$439</f>
        <v>100</v>
      </c>
      <c r="Y297" s="7">
        <f>(P$436-Tabell2[[#This Row],[Eldreandel-T]])*100/P$439</f>
        <v>100</v>
      </c>
      <c r="Z297" s="7">
        <f>100-(Q$436-Tabell2[[#This Row],[Sysselsettingsvekst10-T]])*100/Q$439</f>
        <v>84.61368387671655</v>
      </c>
      <c r="AA297" s="7">
        <f>100-(R$436-Tabell2[[#This Row],[Yrkesaktivandel-T]])*100/R$439</f>
        <v>9.5042301825781692</v>
      </c>
      <c r="AB297" s="7">
        <f>100-(S$436-Tabell2[[#This Row],[Inntekt-T]])*100/S$439</f>
        <v>88.065939168794984</v>
      </c>
      <c r="AC297" s="55">
        <f>Tabell2[[#This Row],[NIBR11-I]]*Vekter!$B$3</f>
        <v>18</v>
      </c>
      <c r="AD297" s="55">
        <f>Tabell2[[#This Row],[ReisetidOslo-I]]*Vekter!$C$3</f>
        <v>4.4390493601482843</v>
      </c>
      <c r="AE297" s="55">
        <f>Tabell2[[#This Row],[Beftettotal-I]]*Vekter!$D$3</f>
        <v>10</v>
      </c>
      <c r="AF297" s="55">
        <f>Tabell2[[#This Row],[Befvekst10-I]]*Vekter!$E$3</f>
        <v>20</v>
      </c>
      <c r="AG297" s="55">
        <f>Tabell2[[#This Row],[Kvinneandel-I]]*Vekter!$F$3</f>
        <v>5</v>
      </c>
      <c r="AH297" s="55">
        <f>Tabell2[[#This Row],[Eldreandel-I]]*Vekter!$G$3</f>
        <v>5</v>
      </c>
      <c r="AI297" s="55">
        <f>Tabell2[[#This Row],[Sysselsettingsvekst10-I]]*Vekter!$H$3</f>
        <v>8.461368387671655</v>
      </c>
      <c r="AJ297" s="55">
        <f>Tabell2[[#This Row],[Yrkesaktivandel-I]]*Vekter!$J$3</f>
        <v>0.95042301825781694</v>
      </c>
      <c r="AK297" s="55">
        <f>Tabell2[[#This Row],[Inntekt-I]]*Vekter!$L$3</f>
        <v>8.806593916879498</v>
      </c>
      <c r="AL297" s="56">
        <f>SUM(Tabell2[[#This Row],[NIBR11-v]:[Inntekt-v]])</f>
        <v>80.657434682957259</v>
      </c>
    </row>
    <row r="298" spans="1:38" x14ac:dyDescent="0.25">
      <c r="A298" s="2" t="s">
        <v>295</v>
      </c>
      <c r="B298">
        <f>'Rådata-K'!M297</f>
        <v>9</v>
      </c>
      <c r="C298" s="7">
        <f>'Rådata-K'!L297</f>
        <v>251.4166666667</v>
      </c>
      <c r="D298" s="34">
        <f>'Rådata-K'!N297</f>
        <v>6.3528568441802822</v>
      </c>
      <c r="E298" s="34">
        <f>'Rådata-K'!O297</f>
        <v>-5.3776011222820275E-3</v>
      </c>
      <c r="F298" s="34">
        <f>'Rådata-K'!P297</f>
        <v>0.10601786553831688</v>
      </c>
      <c r="G298" s="34">
        <f>'Rådata-K'!Q297</f>
        <v>0.18147625763986835</v>
      </c>
      <c r="H298" s="34">
        <f>'Rådata-K'!R297</f>
        <v>0.16445470282746677</v>
      </c>
      <c r="I298" s="34">
        <f>'Rådata-K'!S297</f>
        <v>0.89432989690721654</v>
      </c>
      <c r="J298" s="22">
        <f>'Rådata-K'!K297</f>
        <v>364200</v>
      </c>
      <c r="K298" s="22">
        <f>Tabell2[[#This Row],[NIBR11]]</f>
        <v>9</v>
      </c>
      <c r="L298" s="32">
        <f>IF(Tabell2[[#This Row],[ReisetidOslo]]&lt;=C$434,C$434,IF(Tabell2[[#This Row],[ReisetidOslo]]&gt;=C$435,C$435,Tabell2[[#This Row],[ReisetidOslo]]))</f>
        <v>251.4166666667</v>
      </c>
      <c r="M298" s="32">
        <f>IF(Tabell2[[#This Row],[Beftettotal]]&lt;=D$434,D$434,IF(Tabell2[[#This Row],[Beftettotal]]&gt;=D$435,D$435,Tabell2[[#This Row],[Beftettotal]]))</f>
        <v>6.3528568441802822</v>
      </c>
      <c r="N298" s="34">
        <f>IF(Tabell2[[#This Row],[Befvekst10]]&lt;=E$434,E$434,IF(Tabell2[[#This Row],[Befvekst10]]&gt;=E$435,E$435,Tabell2[[#This Row],[Befvekst10]]))</f>
        <v>-5.3776011222820275E-3</v>
      </c>
      <c r="O298" s="34">
        <f>IF(Tabell2[[#This Row],[Kvinneandel]]&lt;=F$434,F$434,IF(Tabell2[[#This Row],[Kvinneandel]]&gt;=F$435,F$435,Tabell2[[#This Row],[Kvinneandel]]))</f>
        <v>0.10601786553831688</v>
      </c>
      <c r="P298" s="34">
        <f>IF(Tabell2[[#This Row],[Eldreandel]]&lt;=G$434,G$434,IF(Tabell2[[#This Row],[Eldreandel]]&gt;=G$435,G$435,Tabell2[[#This Row],[Eldreandel]]))</f>
        <v>0.18147625763986835</v>
      </c>
      <c r="Q298" s="34">
        <f>IF(Tabell2[[#This Row],[Sysselsettingsvekst10]]&lt;=H$434,H$434,IF(Tabell2[[#This Row],[Sysselsettingsvekst10]]&gt;=H$435,H$435,Tabell2[[#This Row],[Sysselsettingsvekst10]]))</f>
        <v>0.16445470282746677</v>
      </c>
      <c r="R298" s="34">
        <f>IF(Tabell2[[#This Row],[Yrkesaktivandel]]&lt;=I$434,I$434,IF(Tabell2[[#This Row],[Yrkesaktivandel]]&gt;=I$435,I$435,Tabell2[[#This Row],[Yrkesaktivandel]]))</f>
        <v>0.89432989690721654</v>
      </c>
      <c r="S298" s="22">
        <f>IF(Tabell2[[#This Row],[Inntekt]]&lt;=J$434,J$434,IF(Tabell2[[#This Row],[Inntekt]]&gt;=J$435,J$435,Tabell2[[#This Row],[Inntekt]]))</f>
        <v>364200</v>
      </c>
      <c r="T298" s="22">
        <f>IF(Tabell2[[#This Row],[NIBR11-T]]&lt;=K$437,100,IF(Tabell2[[#This Row],[NIBR11-T]]&gt;=K$436,0,100*(K$436-Tabell2[[#This Row],[NIBR11-T]])/K$439))</f>
        <v>20</v>
      </c>
      <c r="U298" s="7">
        <f>IF(Tabell2[[#This Row],[ReisetidOslo-T]]&lt;=L$437,100,IF(Tabell2[[#This Row],[ReisetidOslo-T]]&gt;=L$436,0,100*(L$436-Tabell2[[#This Row],[ReisetidOslo-T]])/L$439))</f>
        <v>12.74149908591753</v>
      </c>
      <c r="V298" s="7">
        <f>100-(M$436-Tabell2[[#This Row],[Beftettotal-T]])*100/M$439</f>
        <v>3.8857115631584662</v>
      </c>
      <c r="W298" s="7">
        <f>100-(N$436-Tabell2[[#This Row],[Befvekst10-T]])*100/N$439</f>
        <v>28.514139069139134</v>
      </c>
      <c r="X298" s="7">
        <f>100-(O$436-Tabell2[[#This Row],[Kvinneandel-T]])*100/O$439</f>
        <v>41.031576010424573</v>
      </c>
      <c r="Y298" s="7">
        <f>(P$436-Tabell2[[#This Row],[Eldreandel-T]])*100/P$439</f>
        <v>36.059739375360685</v>
      </c>
      <c r="Z298" s="7">
        <f>100-(Q$436-Tabell2[[#This Row],[Sysselsettingsvekst10-T]])*100/Q$439</f>
        <v>69.680563585154275</v>
      </c>
      <c r="AA298" s="7">
        <f>100-(R$436-Tabell2[[#This Row],[Yrkesaktivandel-T]])*100/R$439</f>
        <v>47.943759424524643</v>
      </c>
      <c r="AB298" s="7">
        <f>100-(S$436-Tabell2[[#This Row],[Inntekt-T]])*100/S$439</f>
        <v>37.798931971209662</v>
      </c>
      <c r="AC298" s="55">
        <f>Tabell2[[#This Row],[NIBR11-I]]*Vekter!$B$3</f>
        <v>4</v>
      </c>
      <c r="AD298" s="55">
        <f>Tabell2[[#This Row],[ReisetidOslo-I]]*Vekter!$C$3</f>
        <v>1.2741499085917531</v>
      </c>
      <c r="AE298" s="55">
        <f>Tabell2[[#This Row],[Beftettotal-I]]*Vekter!$D$3</f>
        <v>0.38857115631584666</v>
      </c>
      <c r="AF298" s="55">
        <f>Tabell2[[#This Row],[Befvekst10-I]]*Vekter!$E$3</f>
        <v>5.7028278138278274</v>
      </c>
      <c r="AG298" s="55">
        <f>Tabell2[[#This Row],[Kvinneandel-I]]*Vekter!$F$3</f>
        <v>2.0515788005212285</v>
      </c>
      <c r="AH298" s="55">
        <f>Tabell2[[#This Row],[Eldreandel-I]]*Vekter!$G$3</f>
        <v>1.8029869687680344</v>
      </c>
      <c r="AI298" s="55">
        <f>Tabell2[[#This Row],[Sysselsettingsvekst10-I]]*Vekter!$H$3</f>
        <v>6.9680563585154278</v>
      </c>
      <c r="AJ298" s="55">
        <f>Tabell2[[#This Row],[Yrkesaktivandel-I]]*Vekter!$J$3</f>
        <v>4.7943759424524641</v>
      </c>
      <c r="AK298" s="55">
        <f>Tabell2[[#This Row],[Inntekt-I]]*Vekter!$L$3</f>
        <v>3.7798931971209662</v>
      </c>
      <c r="AL298" s="56">
        <f>SUM(Tabell2[[#This Row],[NIBR11-v]:[Inntekt-v]])</f>
        <v>30.762440146113548</v>
      </c>
    </row>
    <row r="299" spans="1:38" x14ac:dyDescent="0.25">
      <c r="A299" s="2" t="s">
        <v>296</v>
      </c>
      <c r="B299">
        <f>'Rådata-K'!M298</f>
        <v>5</v>
      </c>
      <c r="C299" s="7">
        <f>'Rådata-K'!L298</f>
        <v>234.78333333329999</v>
      </c>
      <c r="D299" s="34">
        <f>'Rådata-K'!N298</f>
        <v>1.9326143430685665</v>
      </c>
      <c r="E299" s="34">
        <f>'Rådata-K'!O298</f>
        <v>-4.2884990253411304E-2</v>
      </c>
      <c r="F299" s="34">
        <f>'Rådata-K'!P298</f>
        <v>8.9613034623217916E-2</v>
      </c>
      <c r="G299" s="34">
        <f>'Rådata-K'!Q298</f>
        <v>0.20162932790224034</v>
      </c>
      <c r="H299" s="34">
        <f>'Rådata-K'!R298</f>
        <v>-5.3908355795148077E-3</v>
      </c>
      <c r="I299" s="34">
        <f>'Rådata-K'!S298</f>
        <v>0.91500904159132013</v>
      </c>
      <c r="J299" s="22">
        <f>'Rådata-K'!K298</f>
        <v>349000</v>
      </c>
      <c r="K299" s="22">
        <f>Tabell2[[#This Row],[NIBR11]]</f>
        <v>5</v>
      </c>
      <c r="L299" s="32">
        <f>IF(Tabell2[[#This Row],[ReisetidOslo]]&lt;=C$434,C$434,IF(Tabell2[[#This Row],[ReisetidOslo]]&gt;=C$435,C$435,Tabell2[[#This Row],[ReisetidOslo]]))</f>
        <v>234.78333333329999</v>
      </c>
      <c r="M299" s="32">
        <f>IF(Tabell2[[#This Row],[Beftettotal]]&lt;=D$434,D$434,IF(Tabell2[[#This Row],[Beftettotal]]&gt;=D$435,D$435,Tabell2[[#This Row],[Beftettotal]]))</f>
        <v>1.9326143430685665</v>
      </c>
      <c r="N299" s="34">
        <f>IF(Tabell2[[#This Row],[Befvekst10]]&lt;=E$434,E$434,IF(Tabell2[[#This Row],[Befvekst10]]&gt;=E$435,E$435,Tabell2[[#This Row],[Befvekst10]]))</f>
        <v>-4.2884990253411304E-2</v>
      </c>
      <c r="O299" s="34">
        <f>IF(Tabell2[[#This Row],[Kvinneandel]]&lt;=F$434,F$434,IF(Tabell2[[#This Row],[Kvinneandel]]&gt;=F$435,F$435,Tabell2[[#This Row],[Kvinneandel]]))</f>
        <v>9.0490197137593403E-2</v>
      </c>
      <c r="P299" s="34">
        <f>IF(Tabell2[[#This Row],[Eldreandel]]&lt;=G$434,G$434,IF(Tabell2[[#This Row],[Eldreandel]]&gt;=G$435,G$435,Tabell2[[#This Row],[Eldreandel]]))</f>
        <v>0.20162932790224034</v>
      </c>
      <c r="Q299" s="34">
        <f>IF(Tabell2[[#This Row],[Sysselsettingsvekst10]]&lt;=H$434,H$434,IF(Tabell2[[#This Row],[Sysselsettingsvekst10]]&gt;=H$435,H$435,Tabell2[[#This Row],[Sysselsettingsvekst10]]))</f>
        <v>-5.3908355795148077E-3</v>
      </c>
      <c r="R299" s="34">
        <f>IF(Tabell2[[#This Row],[Yrkesaktivandel]]&lt;=I$434,I$434,IF(Tabell2[[#This Row],[Yrkesaktivandel]]&gt;=I$435,I$435,Tabell2[[#This Row],[Yrkesaktivandel]]))</f>
        <v>0.91500904159132013</v>
      </c>
      <c r="S299" s="22">
        <f>IF(Tabell2[[#This Row],[Inntekt]]&lt;=J$434,J$434,IF(Tabell2[[#This Row],[Inntekt]]&gt;=J$435,J$435,Tabell2[[#This Row],[Inntekt]]))</f>
        <v>349000</v>
      </c>
      <c r="T299" s="22">
        <f>IF(Tabell2[[#This Row],[NIBR11-T]]&lt;=K$437,100,IF(Tabell2[[#This Row],[NIBR11-T]]&gt;=K$436,0,100*(K$436-Tabell2[[#This Row],[NIBR11-T]])/K$439))</f>
        <v>60</v>
      </c>
      <c r="U299" s="7">
        <f>IF(Tabell2[[#This Row],[ReisetidOslo-T]]&lt;=L$437,100,IF(Tabell2[[#This Row],[ReisetidOslo-T]]&gt;=L$436,0,100*(L$436-Tabell2[[#This Row],[ReisetidOslo-T]])/L$439))</f>
        <v>20.039488117024646</v>
      </c>
      <c r="V299" s="7">
        <f>100-(M$436-Tabell2[[#This Row],[Beftettotal-T]])*100/M$439</f>
        <v>0.46634112534158589</v>
      </c>
      <c r="W299" s="7">
        <f>100-(N$436-Tabell2[[#This Row],[Befvekst10-T]])*100/N$439</f>
        <v>13.412293151959048</v>
      </c>
      <c r="X299" s="7">
        <f>100-(O$436-Tabell2[[#This Row],[Kvinneandel-T]])*100/O$439</f>
        <v>0</v>
      </c>
      <c r="Y299" s="7">
        <f>(P$436-Tabell2[[#This Row],[Eldreandel-T]])*100/P$439</f>
        <v>13.976973571140844</v>
      </c>
      <c r="Z299" s="7">
        <f>100-(Q$436-Tabell2[[#This Row],[Sysselsettingsvekst10-T]])*100/Q$439</f>
        <v>19.144568432771422</v>
      </c>
      <c r="AA299" s="7">
        <f>100-(R$436-Tabell2[[#This Row],[Yrkesaktivandel-T]])*100/R$439</f>
        <v>63.843783142746432</v>
      </c>
      <c r="AB299" s="7">
        <f>100-(S$436-Tabell2[[#This Row],[Inntekt-T]])*100/S$439</f>
        <v>20.153238913396791</v>
      </c>
      <c r="AC299" s="55">
        <f>Tabell2[[#This Row],[NIBR11-I]]*Vekter!$B$3</f>
        <v>12</v>
      </c>
      <c r="AD299" s="55">
        <f>Tabell2[[#This Row],[ReisetidOslo-I]]*Vekter!$C$3</f>
        <v>2.0039488117024646</v>
      </c>
      <c r="AE299" s="55">
        <f>Tabell2[[#This Row],[Beftettotal-I]]*Vekter!$D$3</f>
        <v>4.6634112534158591E-2</v>
      </c>
      <c r="AF299" s="55">
        <f>Tabell2[[#This Row],[Befvekst10-I]]*Vekter!$E$3</f>
        <v>2.6824586303918099</v>
      </c>
      <c r="AG299" s="55">
        <f>Tabell2[[#This Row],[Kvinneandel-I]]*Vekter!$F$3</f>
        <v>0</v>
      </c>
      <c r="AH299" s="55">
        <f>Tabell2[[#This Row],[Eldreandel-I]]*Vekter!$G$3</f>
        <v>0.69884867855704225</v>
      </c>
      <c r="AI299" s="55">
        <f>Tabell2[[#This Row],[Sysselsettingsvekst10-I]]*Vekter!$H$3</f>
        <v>1.9144568432771423</v>
      </c>
      <c r="AJ299" s="55">
        <f>Tabell2[[#This Row],[Yrkesaktivandel-I]]*Vekter!$J$3</f>
        <v>6.3843783142746435</v>
      </c>
      <c r="AK299" s="55">
        <f>Tabell2[[#This Row],[Inntekt-I]]*Vekter!$L$3</f>
        <v>2.0153238913396794</v>
      </c>
      <c r="AL299" s="56">
        <f>SUM(Tabell2[[#This Row],[NIBR11-v]:[Inntekt-v]])</f>
        <v>27.746049282076942</v>
      </c>
    </row>
    <row r="300" spans="1:38" x14ac:dyDescent="0.25">
      <c r="A300" s="2" t="s">
        <v>297</v>
      </c>
      <c r="B300">
        <f>'Rådata-K'!M299</f>
        <v>10</v>
      </c>
      <c r="C300" s="7">
        <f>'Rådata-K'!L299</f>
        <v>279.133333333</v>
      </c>
      <c r="D300" s="34">
        <f>'Rådata-K'!N299</f>
        <v>6.7170432660501902</v>
      </c>
      <c r="E300" s="34">
        <f>'Rådata-K'!O299</f>
        <v>0.13515527950310569</v>
      </c>
      <c r="F300" s="34">
        <f>'Rådata-K'!P299</f>
        <v>0.11687458962573867</v>
      </c>
      <c r="G300" s="34">
        <f>'Rådata-K'!Q299</f>
        <v>0.17202889034799737</v>
      </c>
      <c r="H300" s="34">
        <f>'Rådata-K'!R299</f>
        <v>0.31893333333333329</v>
      </c>
      <c r="I300" s="34">
        <f>'Rådata-K'!S299</f>
        <v>0.91789077212806025</v>
      </c>
      <c r="J300" s="22">
        <f>'Rådata-K'!K299</f>
        <v>348600</v>
      </c>
      <c r="K300" s="22">
        <f>Tabell2[[#This Row],[NIBR11]]</f>
        <v>10</v>
      </c>
      <c r="L300" s="32">
        <f>IF(Tabell2[[#This Row],[ReisetidOslo]]&lt;=C$434,C$434,IF(Tabell2[[#This Row],[ReisetidOslo]]&gt;=C$435,C$435,Tabell2[[#This Row],[ReisetidOslo]]))</f>
        <v>279.133333333</v>
      </c>
      <c r="M300" s="32">
        <f>IF(Tabell2[[#This Row],[Beftettotal]]&lt;=D$434,D$434,IF(Tabell2[[#This Row],[Beftettotal]]&gt;=D$435,D$435,Tabell2[[#This Row],[Beftettotal]]))</f>
        <v>6.7170432660501902</v>
      </c>
      <c r="N300" s="34">
        <f>IF(Tabell2[[#This Row],[Befvekst10]]&lt;=E$434,E$434,IF(Tabell2[[#This Row],[Befvekst10]]&gt;=E$435,E$435,Tabell2[[#This Row],[Befvekst10]]))</f>
        <v>0.13515527950310569</v>
      </c>
      <c r="O300" s="34">
        <f>IF(Tabell2[[#This Row],[Kvinneandel]]&lt;=F$434,F$434,IF(Tabell2[[#This Row],[Kvinneandel]]&gt;=F$435,F$435,Tabell2[[#This Row],[Kvinneandel]]))</f>
        <v>0.11687458962573867</v>
      </c>
      <c r="P300" s="34">
        <f>IF(Tabell2[[#This Row],[Eldreandel]]&lt;=G$434,G$434,IF(Tabell2[[#This Row],[Eldreandel]]&gt;=G$435,G$435,Tabell2[[#This Row],[Eldreandel]]))</f>
        <v>0.17202889034799737</v>
      </c>
      <c r="Q300" s="34">
        <f>IF(Tabell2[[#This Row],[Sysselsettingsvekst10]]&lt;=H$434,H$434,IF(Tabell2[[#This Row],[Sysselsettingsvekst10]]&gt;=H$435,H$435,Tabell2[[#This Row],[Sysselsettingsvekst10]]))</f>
        <v>0.26635476409167841</v>
      </c>
      <c r="R300" s="34">
        <f>IF(Tabell2[[#This Row],[Yrkesaktivandel]]&lt;=I$434,I$434,IF(Tabell2[[#This Row],[Yrkesaktivandel]]&gt;=I$435,I$435,Tabell2[[#This Row],[Yrkesaktivandel]]))</f>
        <v>0.91789077212806025</v>
      </c>
      <c r="S300" s="22">
        <f>IF(Tabell2[[#This Row],[Inntekt]]&lt;=J$434,J$434,IF(Tabell2[[#This Row],[Inntekt]]&gt;=J$435,J$435,Tabell2[[#This Row],[Inntekt]]))</f>
        <v>348600</v>
      </c>
      <c r="T300" s="22">
        <f>IF(Tabell2[[#This Row],[NIBR11-T]]&lt;=K$437,100,IF(Tabell2[[#This Row],[NIBR11-T]]&gt;=K$436,0,100*(K$436-Tabell2[[#This Row],[NIBR11-T]])/K$439))</f>
        <v>10</v>
      </c>
      <c r="U300" s="7">
        <f>IF(Tabell2[[#This Row],[ReisetidOslo-T]]&lt;=L$437,100,IF(Tabell2[[#This Row],[ReisetidOslo-T]]&gt;=L$436,0,100*(L$436-Tabell2[[#This Row],[ReisetidOslo-T]])/L$439))</f>
        <v>0.5806215723685032</v>
      </c>
      <c r="V300" s="7">
        <f>100-(M$436-Tabell2[[#This Row],[Beftettotal-T]])*100/M$439</f>
        <v>4.167435537461472</v>
      </c>
      <c r="W300" s="7">
        <f>100-(N$436-Tabell2[[#This Row],[Befvekst10-T]])*100/N$439</f>
        <v>85.097813877382706</v>
      </c>
      <c r="X300" s="7">
        <f>100-(O$436-Tabell2[[#This Row],[Kvinneandel-T]])*100/O$439</f>
        <v>69.720268228793884</v>
      </c>
      <c r="Y300" s="7">
        <f>(P$436-Tabell2[[#This Row],[Eldreandel-T]])*100/P$439</f>
        <v>46.411710397977409</v>
      </c>
      <c r="Z300" s="7">
        <f>100-(Q$436-Tabell2[[#This Row],[Sysselsettingsvekst10-T]])*100/Q$439</f>
        <v>100</v>
      </c>
      <c r="AA300" s="7">
        <f>100-(R$436-Tabell2[[#This Row],[Yrkesaktivandel-T]])*100/R$439</f>
        <v>66.059521974484198</v>
      </c>
      <c r="AB300" s="7">
        <f>100-(S$436-Tabell2[[#This Row],[Inntekt-T]])*100/S$439</f>
        <v>19.688878569770139</v>
      </c>
      <c r="AC300" s="55">
        <f>Tabell2[[#This Row],[NIBR11-I]]*Vekter!$B$3</f>
        <v>2</v>
      </c>
      <c r="AD300" s="55">
        <f>Tabell2[[#This Row],[ReisetidOslo-I]]*Vekter!$C$3</f>
        <v>5.806215723685032E-2</v>
      </c>
      <c r="AE300" s="55">
        <f>Tabell2[[#This Row],[Beftettotal-I]]*Vekter!$D$3</f>
        <v>0.41674355374614724</v>
      </c>
      <c r="AF300" s="55">
        <f>Tabell2[[#This Row],[Befvekst10-I]]*Vekter!$E$3</f>
        <v>17.01956277547654</v>
      </c>
      <c r="AG300" s="55">
        <f>Tabell2[[#This Row],[Kvinneandel-I]]*Vekter!$F$3</f>
        <v>3.4860134114396946</v>
      </c>
      <c r="AH300" s="55">
        <f>Tabell2[[#This Row],[Eldreandel-I]]*Vekter!$G$3</f>
        <v>2.3205855198988705</v>
      </c>
      <c r="AI300" s="55">
        <f>Tabell2[[#This Row],[Sysselsettingsvekst10-I]]*Vekter!$H$3</f>
        <v>10</v>
      </c>
      <c r="AJ300" s="55">
        <f>Tabell2[[#This Row],[Yrkesaktivandel-I]]*Vekter!$J$3</f>
        <v>6.6059521974484205</v>
      </c>
      <c r="AK300" s="55">
        <f>Tabell2[[#This Row],[Inntekt-I]]*Vekter!$L$3</f>
        <v>1.9688878569770141</v>
      </c>
      <c r="AL300" s="56">
        <f>SUM(Tabell2[[#This Row],[NIBR11-v]:[Inntekt-v]])</f>
        <v>43.875807472223535</v>
      </c>
    </row>
    <row r="301" spans="1:38" x14ac:dyDescent="0.25">
      <c r="A301" s="2" t="s">
        <v>298</v>
      </c>
      <c r="B301">
        <f>'Rådata-K'!M300</f>
        <v>10</v>
      </c>
      <c r="C301" s="7">
        <f>'Rådata-K'!L300</f>
        <v>303.64999999999998</v>
      </c>
      <c r="D301" s="34">
        <f>'Rådata-K'!N300</f>
        <v>19.252181138346486</v>
      </c>
      <c r="E301" s="34">
        <f>'Rådata-K'!O300</f>
        <v>0.12639766650461848</v>
      </c>
      <c r="F301" s="34">
        <f>'Rådata-K'!P300</f>
        <v>0.12321968062149331</v>
      </c>
      <c r="G301" s="34">
        <f>'Rådata-K'!Q300</f>
        <v>0.15429434613724644</v>
      </c>
      <c r="H301" s="34">
        <f>'Rådata-K'!R300</f>
        <v>0.31860706860706856</v>
      </c>
      <c r="I301" s="34">
        <f>'Rådata-K'!S300</f>
        <v>0.89937568857877337</v>
      </c>
      <c r="J301" s="22">
        <f>'Rådata-K'!K300</f>
        <v>386000</v>
      </c>
      <c r="K301" s="22">
        <f>Tabell2[[#This Row],[NIBR11]]</f>
        <v>10</v>
      </c>
      <c r="L301" s="32">
        <f>IF(Tabell2[[#This Row],[ReisetidOslo]]&lt;=C$434,C$434,IF(Tabell2[[#This Row],[ReisetidOslo]]&gt;=C$435,C$435,Tabell2[[#This Row],[ReisetidOslo]]))</f>
        <v>280.45666666669001</v>
      </c>
      <c r="M301" s="32">
        <f>IF(Tabell2[[#This Row],[Beftettotal]]&lt;=D$434,D$434,IF(Tabell2[[#This Row],[Beftettotal]]&gt;=D$435,D$435,Tabell2[[#This Row],[Beftettotal]]))</f>
        <v>19.252181138346486</v>
      </c>
      <c r="N301" s="34">
        <f>IF(Tabell2[[#This Row],[Befvekst10]]&lt;=E$434,E$434,IF(Tabell2[[#This Row],[Befvekst10]]&gt;=E$435,E$435,Tabell2[[#This Row],[Befvekst10]]))</f>
        <v>0.12639766650461848</v>
      </c>
      <c r="O301" s="34">
        <f>IF(Tabell2[[#This Row],[Kvinneandel]]&lt;=F$434,F$434,IF(Tabell2[[#This Row],[Kvinneandel]]&gt;=F$435,F$435,Tabell2[[#This Row],[Kvinneandel]]))</f>
        <v>0.12321968062149331</v>
      </c>
      <c r="P301" s="34">
        <f>IF(Tabell2[[#This Row],[Eldreandel]]&lt;=G$434,G$434,IF(Tabell2[[#This Row],[Eldreandel]]&gt;=G$435,G$435,Tabell2[[#This Row],[Eldreandel]]))</f>
        <v>0.15429434613724644</v>
      </c>
      <c r="Q301" s="34">
        <f>IF(Tabell2[[#This Row],[Sysselsettingsvekst10]]&lt;=H$434,H$434,IF(Tabell2[[#This Row],[Sysselsettingsvekst10]]&gt;=H$435,H$435,Tabell2[[#This Row],[Sysselsettingsvekst10]]))</f>
        <v>0.26635476409167841</v>
      </c>
      <c r="R301" s="34">
        <f>IF(Tabell2[[#This Row],[Yrkesaktivandel]]&lt;=I$434,I$434,IF(Tabell2[[#This Row],[Yrkesaktivandel]]&gt;=I$435,I$435,Tabell2[[#This Row],[Yrkesaktivandel]]))</f>
        <v>0.89937568857877337</v>
      </c>
      <c r="S301" s="22">
        <f>IF(Tabell2[[#This Row],[Inntekt]]&lt;=J$434,J$434,IF(Tabell2[[#This Row],[Inntekt]]&gt;=J$435,J$435,Tabell2[[#This Row],[Inntekt]]))</f>
        <v>386000</v>
      </c>
      <c r="T301" s="22">
        <f>IF(Tabell2[[#This Row],[NIBR11-T]]&lt;=K$437,100,IF(Tabell2[[#This Row],[NIBR11-T]]&gt;=K$436,0,100*(K$436-Tabell2[[#This Row],[NIBR11-T]])/K$439))</f>
        <v>10</v>
      </c>
      <c r="U301" s="7">
        <f>IF(Tabell2[[#This Row],[ReisetidOslo-T]]&lt;=L$437,100,IF(Tabell2[[#This Row],[ReisetidOslo-T]]&gt;=L$436,0,100*(L$436-Tabell2[[#This Row],[ReisetidOslo-T]])/L$439))</f>
        <v>0</v>
      </c>
      <c r="V301" s="7">
        <f>100-(M$436-Tabell2[[#This Row],[Beftettotal-T]])*100/M$439</f>
        <v>13.864251914325123</v>
      </c>
      <c r="W301" s="7">
        <f>100-(N$436-Tabell2[[#This Row],[Befvekst10-T]])*100/N$439</f>
        <v>81.571678756565106</v>
      </c>
      <c r="X301" s="7">
        <f>100-(O$436-Tabell2[[#This Row],[Kvinneandel-T]])*100/O$439</f>
        <v>86.487053606129535</v>
      </c>
      <c r="Y301" s="7">
        <f>(P$436-Tabell2[[#This Row],[Eldreandel-T]])*100/P$439</f>
        <v>65.844371593120883</v>
      </c>
      <c r="Z301" s="7">
        <f>100-(Q$436-Tabell2[[#This Row],[Sysselsettingsvekst10-T]])*100/Q$439</f>
        <v>100</v>
      </c>
      <c r="AA301" s="7">
        <f>100-(R$436-Tabell2[[#This Row],[Yrkesaktivandel-T]])*100/R$439</f>
        <v>51.823427006551491</v>
      </c>
      <c r="AB301" s="7">
        <f>100-(S$436-Tabell2[[#This Row],[Inntekt-T]])*100/S$439</f>
        <v>63.106570698862321</v>
      </c>
      <c r="AC301" s="55">
        <f>Tabell2[[#This Row],[NIBR11-I]]*Vekter!$B$3</f>
        <v>2</v>
      </c>
      <c r="AD301" s="55">
        <f>Tabell2[[#This Row],[ReisetidOslo-I]]*Vekter!$C$3</f>
        <v>0</v>
      </c>
      <c r="AE301" s="55">
        <f>Tabell2[[#This Row],[Beftettotal-I]]*Vekter!$D$3</f>
        <v>1.3864251914325125</v>
      </c>
      <c r="AF301" s="55">
        <f>Tabell2[[#This Row],[Befvekst10-I]]*Vekter!$E$3</f>
        <v>16.31433575131302</v>
      </c>
      <c r="AG301" s="55">
        <f>Tabell2[[#This Row],[Kvinneandel-I]]*Vekter!$F$3</f>
        <v>4.3243526803064771</v>
      </c>
      <c r="AH301" s="55">
        <f>Tabell2[[#This Row],[Eldreandel-I]]*Vekter!$G$3</f>
        <v>3.2922185796560441</v>
      </c>
      <c r="AI301" s="55">
        <f>Tabell2[[#This Row],[Sysselsettingsvekst10-I]]*Vekter!$H$3</f>
        <v>10</v>
      </c>
      <c r="AJ301" s="55">
        <f>Tabell2[[#This Row],[Yrkesaktivandel-I]]*Vekter!$J$3</f>
        <v>5.1823427006551492</v>
      </c>
      <c r="AK301" s="55">
        <f>Tabell2[[#This Row],[Inntekt-I]]*Vekter!$L$3</f>
        <v>6.3106570698862328</v>
      </c>
      <c r="AL301" s="56">
        <f>SUM(Tabell2[[#This Row],[NIBR11-v]:[Inntekt-v]])</f>
        <v>48.810331973249433</v>
      </c>
    </row>
    <row r="302" spans="1:38" x14ac:dyDescent="0.25">
      <c r="A302" s="2" t="s">
        <v>299</v>
      </c>
      <c r="B302">
        <f>'Rådata-K'!M301</f>
        <v>10</v>
      </c>
      <c r="C302" s="7">
        <f>'Rådata-K'!L301</f>
        <v>275.8</v>
      </c>
      <c r="D302" s="34">
        <f>'Rådata-K'!N301</f>
        <v>70.825362120798033</v>
      </c>
      <c r="E302" s="34">
        <f>'Rådata-K'!O301</f>
        <v>9.1510903426790247E-3</v>
      </c>
      <c r="F302" s="34">
        <f>'Rådata-K'!P301</f>
        <v>0.1113254871695929</v>
      </c>
      <c r="G302" s="34">
        <f>'Rådata-K'!Q301</f>
        <v>0.16669882307543893</v>
      </c>
      <c r="H302" s="34">
        <f>'Rådata-K'!R301</f>
        <v>3.2656312226204687E-2</v>
      </c>
      <c r="I302" s="34">
        <f>'Rådata-K'!S301</f>
        <v>0.88747913188647742</v>
      </c>
      <c r="J302" s="22">
        <f>'Rådata-K'!K301</f>
        <v>365900</v>
      </c>
      <c r="K302" s="22">
        <f>Tabell2[[#This Row],[NIBR11]]</f>
        <v>10</v>
      </c>
      <c r="L302" s="32">
        <f>IF(Tabell2[[#This Row],[ReisetidOslo]]&lt;=C$434,C$434,IF(Tabell2[[#This Row],[ReisetidOslo]]&gt;=C$435,C$435,Tabell2[[#This Row],[ReisetidOslo]]))</f>
        <v>275.8</v>
      </c>
      <c r="M302" s="32">
        <f>IF(Tabell2[[#This Row],[Beftettotal]]&lt;=D$434,D$434,IF(Tabell2[[#This Row],[Beftettotal]]&gt;=D$435,D$435,Tabell2[[#This Row],[Beftettotal]]))</f>
        <v>70.825362120798033</v>
      </c>
      <c r="N302" s="34">
        <f>IF(Tabell2[[#This Row],[Befvekst10]]&lt;=E$434,E$434,IF(Tabell2[[#This Row],[Befvekst10]]&gt;=E$435,E$435,Tabell2[[#This Row],[Befvekst10]]))</f>
        <v>9.1510903426790247E-3</v>
      </c>
      <c r="O302" s="34">
        <f>IF(Tabell2[[#This Row],[Kvinneandel]]&lt;=F$434,F$434,IF(Tabell2[[#This Row],[Kvinneandel]]&gt;=F$435,F$435,Tabell2[[#This Row],[Kvinneandel]]))</f>
        <v>0.1113254871695929</v>
      </c>
      <c r="P302" s="34">
        <f>IF(Tabell2[[#This Row],[Eldreandel]]&lt;=G$434,G$434,IF(Tabell2[[#This Row],[Eldreandel]]&gt;=G$435,G$435,Tabell2[[#This Row],[Eldreandel]]))</f>
        <v>0.16669882307543893</v>
      </c>
      <c r="Q302" s="34">
        <f>IF(Tabell2[[#This Row],[Sysselsettingsvekst10]]&lt;=H$434,H$434,IF(Tabell2[[#This Row],[Sysselsettingsvekst10]]&gt;=H$435,H$435,Tabell2[[#This Row],[Sysselsettingsvekst10]]))</f>
        <v>3.2656312226204687E-2</v>
      </c>
      <c r="R302" s="34">
        <f>IF(Tabell2[[#This Row],[Yrkesaktivandel]]&lt;=I$434,I$434,IF(Tabell2[[#This Row],[Yrkesaktivandel]]&gt;=I$435,I$435,Tabell2[[#This Row],[Yrkesaktivandel]]))</f>
        <v>0.88747913188647742</v>
      </c>
      <c r="S302" s="22">
        <f>IF(Tabell2[[#This Row],[Inntekt]]&lt;=J$434,J$434,IF(Tabell2[[#This Row],[Inntekt]]&gt;=J$435,J$435,Tabell2[[#This Row],[Inntekt]]))</f>
        <v>365900</v>
      </c>
      <c r="T302" s="22">
        <f>IF(Tabell2[[#This Row],[NIBR11-T]]&lt;=K$437,100,IF(Tabell2[[#This Row],[NIBR11-T]]&gt;=K$436,0,100*(K$436-Tabell2[[#This Row],[NIBR11-T]])/K$439))</f>
        <v>10</v>
      </c>
      <c r="U302" s="7">
        <f>IF(Tabell2[[#This Row],[ReisetidOslo-T]]&lt;=L$437,100,IF(Tabell2[[#This Row],[ReisetidOslo-T]]&gt;=L$436,0,100*(L$436-Tabell2[[#This Row],[ReisetidOslo-T]])/L$439))</f>
        <v>2.0431444241416554</v>
      </c>
      <c r="V302" s="7">
        <f>100-(M$436-Tabell2[[#This Row],[Beftettotal-T]])*100/M$439</f>
        <v>53.759757735832054</v>
      </c>
      <c r="W302" s="7">
        <f>100-(N$436-Tabell2[[#This Row],[Befvekst10-T]])*100/N$439</f>
        <v>34.363921337774613</v>
      </c>
      <c r="X302" s="7">
        <f>100-(O$436-Tabell2[[#This Row],[Kvinneandel-T]])*100/O$439</f>
        <v>55.056867817153822</v>
      </c>
      <c r="Y302" s="7">
        <f>(P$436-Tabell2[[#This Row],[Eldreandel-T]])*100/P$439</f>
        <v>52.252141943557277</v>
      </c>
      <c r="Z302" s="7">
        <f>100-(Q$436-Tabell2[[#This Row],[Sysselsettingsvekst10-T]])*100/Q$439</f>
        <v>30.465151211134227</v>
      </c>
      <c r="AA302" s="7">
        <f>100-(R$436-Tabell2[[#This Row],[Yrkesaktivandel-T]])*100/R$439</f>
        <v>42.676262727649629</v>
      </c>
      <c r="AB302" s="7">
        <f>100-(S$436-Tabell2[[#This Row],[Inntekt-T]])*100/S$439</f>
        <v>39.772463431622938</v>
      </c>
      <c r="AC302" s="55">
        <f>Tabell2[[#This Row],[NIBR11-I]]*Vekter!$B$3</f>
        <v>2</v>
      </c>
      <c r="AD302" s="55">
        <f>Tabell2[[#This Row],[ReisetidOslo-I]]*Vekter!$C$3</f>
        <v>0.20431444241416555</v>
      </c>
      <c r="AE302" s="55">
        <f>Tabell2[[#This Row],[Beftettotal-I]]*Vekter!$D$3</f>
        <v>5.3759757735832059</v>
      </c>
      <c r="AF302" s="55">
        <f>Tabell2[[#This Row],[Befvekst10-I]]*Vekter!$E$3</f>
        <v>6.8727842675549233</v>
      </c>
      <c r="AG302" s="55">
        <f>Tabell2[[#This Row],[Kvinneandel-I]]*Vekter!$F$3</f>
        <v>2.7528433908576915</v>
      </c>
      <c r="AH302" s="55">
        <f>Tabell2[[#This Row],[Eldreandel-I]]*Vekter!$G$3</f>
        <v>2.6126070971778641</v>
      </c>
      <c r="AI302" s="55">
        <f>Tabell2[[#This Row],[Sysselsettingsvekst10-I]]*Vekter!$H$3</f>
        <v>3.0465151211134227</v>
      </c>
      <c r="AJ302" s="55">
        <f>Tabell2[[#This Row],[Yrkesaktivandel-I]]*Vekter!$J$3</f>
        <v>4.2676262727649634</v>
      </c>
      <c r="AK302" s="55">
        <f>Tabell2[[#This Row],[Inntekt-I]]*Vekter!$L$3</f>
        <v>3.9772463431622942</v>
      </c>
      <c r="AL302" s="56">
        <f>SUM(Tabell2[[#This Row],[NIBR11-v]:[Inntekt-v]])</f>
        <v>31.109912708628528</v>
      </c>
    </row>
    <row r="303" spans="1:38" x14ac:dyDescent="0.25">
      <c r="A303" s="2" t="s">
        <v>300</v>
      </c>
      <c r="B303">
        <f>'Rådata-K'!M302</f>
        <v>5</v>
      </c>
      <c r="C303" s="7">
        <f>'Rådata-K'!L302</f>
        <v>235.45</v>
      </c>
      <c r="D303" s="34">
        <f>'Rådata-K'!N302</f>
        <v>5.5790203618483254</v>
      </c>
      <c r="E303" s="34">
        <f>'Rådata-K'!O302</f>
        <v>-1.6120066703724345E-2</v>
      </c>
      <c r="F303" s="34">
        <f>'Rådata-K'!P302</f>
        <v>9.2090395480225989E-2</v>
      </c>
      <c r="G303" s="34">
        <f>'Rådata-K'!Q302</f>
        <v>0.21977401129943502</v>
      </c>
      <c r="H303" s="34">
        <f>'Rådata-K'!R302</f>
        <v>1.4577259475218707E-2</v>
      </c>
      <c r="I303" s="34">
        <f>'Rådata-K'!S302</f>
        <v>0.9263157894736842</v>
      </c>
      <c r="J303" s="22">
        <f>'Rådata-K'!K302</f>
        <v>339300</v>
      </c>
      <c r="K303" s="22">
        <f>Tabell2[[#This Row],[NIBR11]]</f>
        <v>5</v>
      </c>
      <c r="L303" s="32">
        <f>IF(Tabell2[[#This Row],[ReisetidOslo]]&lt;=C$434,C$434,IF(Tabell2[[#This Row],[ReisetidOslo]]&gt;=C$435,C$435,Tabell2[[#This Row],[ReisetidOslo]]))</f>
        <v>235.45</v>
      </c>
      <c r="M303" s="32">
        <f>IF(Tabell2[[#This Row],[Beftettotal]]&lt;=D$434,D$434,IF(Tabell2[[#This Row],[Beftettotal]]&gt;=D$435,D$435,Tabell2[[#This Row],[Beftettotal]]))</f>
        <v>5.5790203618483254</v>
      </c>
      <c r="N303" s="34">
        <f>IF(Tabell2[[#This Row],[Befvekst10]]&lt;=E$434,E$434,IF(Tabell2[[#This Row],[Befvekst10]]&gt;=E$435,E$435,Tabell2[[#This Row],[Befvekst10]]))</f>
        <v>-1.6120066703724345E-2</v>
      </c>
      <c r="O303" s="34">
        <f>IF(Tabell2[[#This Row],[Kvinneandel]]&lt;=F$434,F$434,IF(Tabell2[[#This Row],[Kvinneandel]]&gt;=F$435,F$435,Tabell2[[#This Row],[Kvinneandel]]))</f>
        <v>9.2090395480225989E-2</v>
      </c>
      <c r="P303" s="34">
        <f>IF(Tabell2[[#This Row],[Eldreandel]]&lt;=G$434,G$434,IF(Tabell2[[#This Row],[Eldreandel]]&gt;=G$435,G$435,Tabell2[[#This Row],[Eldreandel]]))</f>
        <v>0.21438492803547596</v>
      </c>
      <c r="Q303" s="34">
        <f>IF(Tabell2[[#This Row],[Sysselsettingsvekst10]]&lt;=H$434,H$434,IF(Tabell2[[#This Row],[Sysselsettingsvekst10]]&gt;=H$435,H$435,Tabell2[[#This Row],[Sysselsettingsvekst10]]))</f>
        <v>1.4577259475218707E-2</v>
      </c>
      <c r="R303" s="34">
        <f>IF(Tabell2[[#This Row],[Yrkesaktivandel]]&lt;=I$434,I$434,IF(Tabell2[[#This Row],[Yrkesaktivandel]]&gt;=I$435,I$435,Tabell2[[#This Row],[Yrkesaktivandel]]))</f>
        <v>0.9263157894736842</v>
      </c>
      <c r="S303" s="22">
        <f>IF(Tabell2[[#This Row],[Inntekt]]&lt;=J$434,J$434,IF(Tabell2[[#This Row],[Inntekt]]&gt;=J$435,J$435,Tabell2[[#This Row],[Inntekt]]))</f>
        <v>339300</v>
      </c>
      <c r="T303" s="22">
        <f>IF(Tabell2[[#This Row],[NIBR11-T]]&lt;=K$437,100,IF(Tabell2[[#This Row],[NIBR11-T]]&gt;=K$436,0,100*(K$436-Tabell2[[#This Row],[NIBR11-T]])/K$439))</f>
        <v>60</v>
      </c>
      <c r="U303" s="7">
        <f>IF(Tabell2[[#This Row],[ReisetidOslo-T]]&lt;=L$437,100,IF(Tabell2[[#This Row],[ReisetidOslo-T]]&gt;=L$436,0,100*(L$436-Tabell2[[#This Row],[ReisetidOslo-T]])/L$439))</f>
        <v>19.74698354662614</v>
      </c>
      <c r="V303" s="7">
        <f>100-(M$436-Tabell2[[#This Row],[Beftettotal-T]])*100/M$439</f>
        <v>3.2870942722011023</v>
      </c>
      <c r="W303" s="7">
        <f>100-(N$436-Tabell2[[#This Row],[Befvekst10-T]])*100/N$439</f>
        <v>24.188829743705213</v>
      </c>
      <c r="X303" s="7">
        <f>100-(O$436-Tabell2[[#This Row],[Kvinneandel-T]])*100/O$439</f>
        <v>4.2284944676191714</v>
      </c>
      <c r="Y303" s="7">
        <f>(P$436-Tabell2[[#This Row],[Eldreandel-T]])*100/P$439</f>
        <v>0</v>
      </c>
      <c r="Z303" s="7">
        <f>100-(Q$436-Tabell2[[#This Row],[Sysselsettingsvekst10-T]])*100/Q$439</f>
        <v>25.085893499964669</v>
      </c>
      <c r="AA303" s="7">
        <f>100-(R$436-Tabell2[[#This Row],[Yrkesaktivandel-T]])*100/R$439</f>
        <v>72.537448294368531</v>
      </c>
      <c r="AB303" s="7">
        <f>100-(S$436-Tabell2[[#This Row],[Inntekt-T]])*100/S$439</f>
        <v>8.8925005804504309</v>
      </c>
      <c r="AC303" s="55">
        <f>Tabell2[[#This Row],[NIBR11-I]]*Vekter!$B$3</f>
        <v>12</v>
      </c>
      <c r="AD303" s="55">
        <f>Tabell2[[#This Row],[ReisetidOslo-I]]*Vekter!$C$3</f>
        <v>1.974698354662614</v>
      </c>
      <c r="AE303" s="55">
        <f>Tabell2[[#This Row],[Beftettotal-I]]*Vekter!$D$3</f>
        <v>0.32870942722011026</v>
      </c>
      <c r="AF303" s="55">
        <f>Tabell2[[#This Row],[Befvekst10-I]]*Vekter!$E$3</f>
        <v>4.8377659487410432</v>
      </c>
      <c r="AG303" s="55">
        <f>Tabell2[[#This Row],[Kvinneandel-I]]*Vekter!$F$3</f>
        <v>0.21142472338095858</v>
      </c>
      <c r="AH303" s="55">
        <f>Tabell2[[#This Row],[Eldreandel-I]]*Vekter!$G$3</f>
        <v>0</v>
      </c>
      <c r="AI303" s="55">
        <f>Tabell2[[#This Row],[Sysselsettingsvekst10-I]]*Vekter!$H$3</f>
        <v>2.5085893499964671</v>
      </c>
      <c r="AJ303" s="55">
        <f>Tabell2[[#This Row],[Yrkesaktivandel-I]]*Vekter!$J$3</f>
        <v>7.2537448294368536</v>
      </c>
      <c r="AK303" s="55">
        <f>Tabell2[[#This Row],[Inntekt-I]]*Vekter!$L$3</f>
        <v>0.88925005804504309</v>
      </c>
      <c r="AL303" s="56">
        <f>SUM(Tabell2[[#This Row],[NIBR11-v]:[Inntekt-v]])</f>
        <v>30.004182691483088</v>
      </c>
    </row>
    <row r="304" spans="1:38" x14ac:dyDescent="0.25">
      <c r="A304" s="2" t="s">
        <v>301</v>
      </c>
      <c r="B304">
        <f>'Rådata-K'!M303</f>
        <v>2</v>
      </c>
      <c r="C304" s="7">
        <f>'Rådata-K'!L303</f>
        <v>239.8333333333</v>
      </c>
      <c r="D304" s="34">
        <f>'Rådata-K'!N303</f>
        <v>10.845409058418349</v>
      </c>
      <c r="E304" s="34">
        <f>'Rådata-K'!O303</f>
        <v>3.7773977926317315E-2</v>
      </c>
      <c r="F304" s="34">
        <f>'Rådata-K'!P303</f>
        <v>0.1030557219892151</v>
      </c>
      <c r="G304" s="34">
        <f>'Rådata-K'!Q303</f>
        <v>0.17345715997603356</v>
      </c>
      <c r="H304" s="34">
        <f>'Rådata-K'!R303</f>
        <v>0.13772691397000791</v>
      </c>
      <c r="I304" s="34">
        <f>'Rådata-K'!S303</f>
        <v>0.86890982503364733</v>
      </c>
      <c r="J304" s="22">
        <f>'Rådata-K'!K303</f>
        <v>351100</v>
      </c>
      <c r="K304" s="22">
        <f>Tabell2[[#This Row],[NIBR11]]</f>
        <v>2</v>
      </c>
      <c r="L304" s="32">
        <f>IF(Tabell2[[#This Row],[ReisetidOslo]]&lt;=C$434,C$434,IF(Tabell2[[#This Row],[ReisetidOslo]]&gt;=C$435,C$435,Tabell2[[#This Row],[ReisetidOslo]]))</f>
        <v>239.8333333333</v>
      </c>
      <c r="M304" s="32">
        <f>IF(Tabell2[[#This Row],[Beftettotal]]&lt;=D$434,D$434,IF(Tabell2[[#This Row],[Beftettotal]]&gt;=D$435,D$435,Tabell2[[#This Row],[Beftettotal]]))</f>
        <v>10.845409058418349</v>
      </c>
      <c r="N304" s="34">
        <f>IF(Tabell2[[#This Row],[Befvekst10]]&lt;=E$434,E$434,IF(Tabell2[[#This Row],[Befvekst10]]&gt;=E$435,E$435,Tabell2[[#This Row],[Befvekst10]]))</f>
        <v>3.7773977926317315E-2</v>
      </c>
      <c r="O304" s="34">
        <f>IF(Tabell2[[#This Row],[Kvinneandel]]&lt;=F$434,F$434,IF(Tabell2[[#This Row],[Kvinneandel]]&gt;=F$435,F$435,Tabell2[[#This Row],[Kvinneandel]]))</f>
        <v>0.1030557219892151</v>
      </c>
      <c r="P304" s="34">
        <f>IF(Tabell2[[#This Row],[Eldreandel]]&lt;=G$434,G$434,IF(Tabell2[[#This Row],[Eldreandel]]&gt;=G$435,G$435,Tabell2[[#This Row],[Eldreandel]]))</f>
        <v>0.17345715997603356</v>
      </c>
      <c r="Q304" s="34">
        <f>IF(Tabell2[[#This Row],[Sysselsettingsvekst10]]&lt;=H$434,H$434,IF(Tabell2[[#This Row],[Sysselsettingsvekst10]]&gt;=H$435,H$435,Tabell2[[#This Row],[Sysselsettingsvekst10]]))</f>
        <v>0.13772691397000791</v>
      </c>
      <c r="R304" s="34">
        <f>IF(Tabell2[[#This Row],[Yrkesaktivandel]]&lt;=I$434,I$434,IF(Tabell2[[#This Row],[Yrkesaktivandel]]&gt;=I$435,I$435,Tabell2[[#This Row],[Yrkesaktivandel]]))</f>
        <v>0.86890982503364733</v>
      </c>
      <c r="S304" s="22">
        <f>IF(Tabell2[[#This Row],[Inntekt]]&lt;=J$434,J$434,IF(Tabell2[[#This Row],[Inntekt]]&gt;=J$435,J$435,Tabell2[[#This Row],[Inntekt]]))</f>
        <v>351100</v>
      </c>
      <c r="T304" s="22">
        <f>IF(Tabell2[[#This Row],[NIBR11-T]]&lt;=K$437,100,IF(Tabell2[[#This Row],[NIBR11-T]]&gt;=K$436,0,100*(K$436-Tabell2[[#This Row],[NIBR11-T]])/K$439))</f>
        <v>90</v>
      </c>
      <c r="U304" s="7">
        <f>IF(Tabell2[[#This Row],[ReisetidOslo-T]]&lt;=L$437,100,IF(Tabell2[[#This Row],[ReisetidOslo-T]]&gt;=L$436,0,100*(L$436-Tabell2[[#This Row],[ReisetidOslo-T]])/L$439))</f>
        <v>17.823765996366735</v>
      </c>
      <c r="V304" s="7">
        <f>100-(M$436-Tabell2[[#This Row],[Beftettotal-T]])*100/M$439</f>
        <v>7.3610186821345991</v>
      </c>
      <c r="W304" s="7">
        <f>100-(N$436-Tabell2[[#This Row],[Befvekst10-T]])*100/N$439</f>
        <v>45.888542165997485</v>
      </c>
      <c r="X304" s="7">
        <f>100-(O$436-Tabell2[[#This Row],[Kvinneandel-T]])*100/O$439</f>
        <v>33.204166572501791</v>
      </c>
      <c r="Y304" s="7">
        <f>(P$436-Tabell2[[#This Row],[Eldreandel-T]])*100/P$439</f>
        <v>44.846681184533331</v>
      </c>
      <c r="Z304" s="7">
        <f>100-(Q$436-Tabell2[[#This Row],[Sysselsettingsvekst10-T]])*100/Q$439</f>
        <v>61.727953108581808</v>
      </c>
      <c r="AA304" s="7">
        <f>100-(R$436-Tabell2[[#This Row],[Yrkesaktivandel-T]])*100/R$439</f>
        <v>28.398475909034133</v>
      </c>
      <c r="AB304" s="7">
        <f>100-(S$436-Tabell2[[#This Row],[Inntekt-T]])*100/S$439</f>
        <v>22.591130717436727</v>
      </c>
      <c r="AC304" s="55">
        <f>Tabell2[[#This Row],[NIBR11-I]]*Vekter!$B$3</f>
        <v>18</v>
      </c>
      <c r="AD304" s="55">
        <f>Tabell2[[#This Row],[ReisetidOslo-I]]*Vekter!$C$3</f>
        <v>1.7823765996366736</v>
      </c>
      <c r="AE304" s="55">
        <f>Tabell2[[#This Row],[Beftettotal-I]]*Vekter!$D$3</f>
        <v>0.73610186821345991</v>
      </c>
      <c r="AF304" s="55">
        <f>Tabell2[[#This Row],[Befvekst10-I]]*Vekter!$E$3</f>
        <v>9.1777084331994967</v>
      </c>
      <c r="AG304" s="55">
        <f>Tabell2[[#This Row],[Kvinneandel-I]]*Vekter!$F$3</f>
        <v>1.6602083286250897</v>
      </c>
      <c r="AH304" s="55">
        <f>Tabell2[[#This Row],[Eldreandel-I]]*Vekter!$G$3</f>
        <v>2.2423340592266667</v>
      </c>
      <c r="AI304" s="55">
        <f>Tabell2[[#This Row],[Sysselsettingsvekst10-I]]*Vekter!$H$3</f>
        <v>6.1727953108581808</v>
      </c>
      <c r="AJ304" s="55">
        <f>Tabell2[[#This Row],[Yrkesaktivandel-I]]*Vekter!$J$3</f>
        <v>2.8398475909034135</v>
      </c>
      <c r="AK304" s="55">
        <f>Tabell2[[#This Row],[Inntekt-I]]*Vekter!$L$3</f>
        <v>2.2591130717436729</v>
      </c>
      <c r="AL304" s="56">
        <f>SUM(Tabell2[[#This Row],[NIBR11-v]:[Inntekt-v]])</f>
        <v>44.870485262406639</v>
      </c>
    </row>
    <row r="305" spans="1:38" x14ac:dyDescent="0.25">
      <c r="A305" s="2" t="s">
        <v>302</v>
      </c>
      <c r="B305">
        <f>'Rådata-K'!M304</f>
        <v>10</v>
      </c>
      <c r="C305" s="7">
        <f>'Rådata-K'!L304</f>
        <v>272.35000000000002</v>
      </c>
      <c r="D305" s="34">
        <f>'Rådata-K'!N304</f>
        <v>12.285044293903075</v>
      </c>
      <c r="E305" s="34">
        <f>'Rådata-K'!O304</f>
        <v>6.4034151547491813E-3</v>
      </c>
      <c r="F305" s="34">
        <f>'Rådata-K'!P304</f>
        <v>0.10604453870625663</v>
      </c>
      <c r="G305" s="34">
        <f>'Rådata-K'!Q304</f>
        <v>0.18706256627783668</v>
      </c>
      <c r="H305" s="34">
        <f>'Rådata-K'!R304</f>
        <v>0.13460356484326974</v>
      </c>
      <c r="I305" s="34">
        <f>'Rådata-K'!S304</f>
        <v>0.87417985333847936</v>
      </c>
      <c r="J305" s="22">
        <f>'Rådata-K'!K304</f>
        <v>346300</v>
      </c>
      <c r="K305" s="22">
        <f>Tabell2[[#This Row],[NIBR11]]</f>
        <v>10</v>
      </c>
      <c r="L305" s="32">
        <f>IF(Tabell2[[#This Row],[ReisetidOslo]]&lt;=C$434,C$434,IF(Tabell2[[#This Row],[ReisetidOslo]]&gt;=C$435,C$435,Tabell2[[#This Row],[ReisetidOslo]]))</f>
        <v>272.35000000000002</v>
      </c>
      <c r="M305" s="32">
        <f>IF(Tabell2[[#This Row],[Beftettotal]]&lt;=D$434,D$434,IF(Tabell2[[#This Row],[Beftettotal]]&gt;=D$435,D$435,Tabell2[[#This Row],[Beftettotal]]))</f>
        <v>12.285044293903075</v>
      </c>
      <c r="N305" s="34">
        <f>IF(Tabell2[[#This Row],[Befvekst10]]&lt;=E$434,E$434,IF(Tabell2[[#This Row],[Befvekst10]]&gt;=E$435,E$435,Tabell2[[#This Row],[Befvekst10]]))</f>
        <v>6.4034151547491813E-3</v>
      </c>
      <c r="O305" s="34">
        <f>IF(Tabell2[[#This Row],[Kvinneandel]]&lt;=F$434,F$434,IF(Tabell2[[#This Row],[Kvinneandel]]&gt;=F$435,F$435,Tabell2[[#This Row],[Kvinneandel]]))</f>
        <v>0.10604453870625663</v>
      </c>
      <c r="P305" s="34">
        <f>IF(Tabell2[[#This Row],[Eldreandel]]&lt;=G$434,G$434,IF(Tabell2[[#This Row],[Eldreandel]]&gt;=G$435,G$435,Tabell2[[#This Row],[Eldreandel]]))</f>
        <v>0.18706256627783668</v>
      </c>
      <c r="Q305" s="34">
        <f>IF(Tabell2[[#This Row],[Sysselsettingsvekst10]]&lt;=H$434,H$434,IF(Tabell2[[#This Row],[Sysselsettingsvekst10]]&gt;=H$435,H$435,Tabell2[[#This Row],[Sysselsettingsvekst10]]))</f>
        <v>0.13460356484326974</v>
      </c>
      <c r="R305" s="34">
        <f>IF(Tabell2[[#This Row],[Yrkesaktivandel]]&lt;=I$434,I$434,IF(Tabell2[[#This Row],[Yrkesaktivandel]]&gt;=I$435,I$435,Tabell2[[#This Row],[Yrkesaktivandel]]))</f>
        <v>0.87417985333847936</v>
      </c>
      <c r="S305" s="22">
        <f>IF(Tabell2[[#This Row],[Inntekt]]&lt;=J$434,J$434,IF(Tabell2[[#This Row],[Inntekt]]&gt;=J$435,J$435,Tabell2[[#This Row],[Inntekt]]))</f>
        <v>346300</v>
      </c>
      <c r="T305" s="22">
        <f>IF(Tabell2[[#This Row],[NIBR11-T]]&lt;=K$437,100,IF(Tabell2[[#This Row],[NIBR11-T]]&gt;=K$436,0,100*(K$436-Tabell2[[#This Row],[NIBR11-T]])/K$439))</f>
        <v>10</v>
      </c>
      <c r="U305" s="7">
        <f>IF(Tabell2[[#This Row],[ReisetidOslo-T]]&lt;=L$437,100,IF(Tabell2[[#This Row],[ReisetidOslo-T]]&gt;=L$436,0,100*(L$436-Tabell2[[#This Row],[ReisetidOslo-T]])/L$439))</f>
        <v>3.5568555758782412</v>
      </c>
      <c r="V305" s="7">
        <f>100-(M$436-Tabell2[[#This Row],[Beftettotal-T]])*100/M$439</f>
        <v>8.4746784336568197</v>
      </c>
      <c r="W305" s="7">
        <f>100-(N$436-Tabell2[[#This Row],[Befvekst10-T]])*100/N$439</f>
        <v>33.257606868017604</v>
      </c>
      <c r="X305" s="7">
        <f>100-(O$436-Tabell2[[#This Row],[Kvinneandel-T]])*100/O$439</f>
        <v>41.102059362433032</v>
      </c>
      <c r="Y305" s="7">
        <f>(P$436-Tabell2[[#This Row],[Eldreandel-T]])*100/P$439</f>
        <v>29.938530856940844</v>
      </c>
      <c r="Z305" s="7">
        <f>100-(Q$436-Tabell2[[#This Row],[Sysselsettingsvekst10-T]])*100/Q$439</f>
        <v>60.798628983800732</v>
      </c>
      <c r="AA305" s="7">
        <f>100-(R$436-Tabell2[[#This Row],[Yrkesaktivandel-T]])*100/R$439</f>
        <v>32.450557188147343</v>
      </c>
      <c r="AB305" s="7">
        <f>100-(S$436-Tabell2[[#This Row],[Inntekt-T]])*100/S$439</f>
        <v>17.018806593916878</v>
      </c>
      <c r="AC305" s="55">
        <f>Tabell2[[#This Row],[NIBR11-I]]*Vekter!$B$3</f>
        <v>2</v>
      </c>
      <c r="AD305" s="55">
        <f>Tabell2[[#This Row],[ReisetidOslo-I]]*Vekter!$C$3</f>
        <v>0.35568555758782416</v>
      </c>
      <c r="AE305" s="55">
        <f>Tabell2[[#This Row],[Beftettotal-I]]*Vekter!$D$3</f>
        <v>0.84746784336568204</v>
      </c>
      <c r="AF305" s="55">
        <f>Tabell2[[#This Row],[Befvekst10-I]]*Vekter!$E$3</f>
        <v>6.6515213736035212</v>
      </c>
      <c r="AG305" s="55">
        <f>Tabell2[[#This Row],[Kvinneandel-I]]*Vekter!$F$3</f>
        <v>2.0551029681216515</v>
      </c>
      <c r="AH305" s="55">
        <f>Tabell2[[#This Row],[Eldreandel-I]]*Vekter!$G$3</f>
        <v>1.4969265428470422</v>
      </c>
      <c r="AI305" s="55">
        <f>Tabell2[[#This Row],[Sysselsettingsvekst10-I]]*Vekter!$H$3</f>
        <v>6.0798628983800738</v>
      </c>
      <c r="AJ305" s="55">
        <f>Tabell2[[#This Row],[Yrkesaktivandel-I]]*Vekter!$J$3</f>
        <v>3.2450557188147346</v>
      </c>
      <c r="AK305" s="55">
        <f>Tabell2[[#This Row],[Inntekt-I]]*Vekter!$L$3</f>
        <v>1.701880659391688</v>
      </c>
      <c r="AL305" s="56">
        <f>SUM(Tabell2[[#This Row],[NIBR11-v]:[Inntekt-v]])</f>
        <v>24.433503562112218</v>
      </c>
    </row>
    <row r="306" spans="1:38" x14ac:dyDescent="0.25">
      <c r="A306" s="2" t="s">
        <v>303</v>
      </c>
      <c r="B306">
        <f>'Rådata-K'!M305</f>
        <v>11</v>
      </c>
      <c r="C306" s="7">
        <f>'Rådata-K'!L305</f>
        <v>269.8</v>
      </c>
      <c r="D306" s="34">
        <f>'Rådata-K'!N305</f>
        <v>3.4022583956591879</v>
      </c>
      <c r="E306" s="34">
        <f>'Rådata-K'!O305</f>
        <v>-2.6670662271501389E-2</v>
      </c>
      <c r="F306" s="34">
        <f>'Rådata-K'!P305</f>
        <v>8.3743842364532015E-2</v>
      </c>
      <c r="G306" s="34">
        <f>'Rådata-K'!Q305</f>
        <v>0.20535714285714285</v>
      </c>
      <c r="H306" s="34">
        <f>'Rådata-K'!R305</f>
        <v>0.14148351648351642</v>
      </c>
      <c r="I306" s="34">
        <f>'Rådata-K'!S305</f>
        <v>0.98738532110091748</v>
      </c>
      <c r="J306" s="22">
        <f>'Rådata-K'!K305</f>
        <v>348700</v>
      </c>
      <c r="K306" s="22">
        <f>Tabell2[[#This Row],[NIBR11]]</f>
        <v>11</v>
      </c>
      <c r="L306" s="32">
        <f>IF(Tabell2[[#This Row],[ReisetidOslo]]&lt;=C$434,C$434,IF(Tabell2[[#This Row],[ReisetidOslo]]&gt;=C$435,C$435,Tabell2[[#This Row],[ReisetidOslo]]))</f>
        <v>269.8</v>
      </c>
      <c r="M306" s="32">
        <f>IF(Tabell2[[#This Row],[Beftettotal]]&lt;=D$434,D$434,IF(Tabell2[[#This Row],[Beftettotal]]&gt;=D$435,D$435,Tabell2[[#This Row],[Beftettotal]]))</f>
        <v>3.4022583956591879</v>
      </c>
      <c r="N306" s="34">
        <f>IF(Tabell2[[#This Row],[Befvekst10]]&lt;=E$434,E$434,IF(Tabell2[[#This Row],[Befvekst10]]&gt;=E$435,E$435,Tabell2[[#This Row],[Befvekst10]]))</f>
        <v>-2.6670662271501389E-2</v>
      </c>
      <c r="O306" s="34">
        <f>IF(Tabell2[[#This Row],[Kvinneandel]]&lt;=F$434,F$434,IF(Tabell2[[#This Row],[Kvinneandel]]&gt;=F$435,F$435,Tabell2[[#This Row],[Kvinneandel]]))</f>
        <v>9.0490197137593403E-2</v>
      </c>
      <c r="P306" s="34">
        <f>IF(Tabell2[[#This Row],[Eldreandel]]&lt;=G$434,G$434,IF(Tabell2[[#This Row],[Eldreandel]]&gt;=G$435,G$435,Tabell2[[#This Row],[Eldreandel]]))</f>
        <v>0.20535714285714285</v>
      </c>
      <c r="Q306" s="34">
        <f>IF(Tabell2[[#This Row],[Sysselsettingsvekst10]]&lt;=H$434,H$434,IF(Tabell2[[#This Row],[Sysselsettingsvekst10]]&gt;=H$435,H$435,Tabell2[[#This Row],[Sysselsettingsvekst10]]))</f>
        <v>0.14148351648351642</v>
      </c>
      <c r="R306" s="34">
        <f>IF(Tabell2[[#This Row],[Yrkesaktivandel]]&lt;=I$434,I$434,IF(Tabell2[[#This Row],[Yrkesaktivandel]]&gt;=I$435,I$435,Tabell2[[#This Row],[Yrkesaktivandel]]))</f>
        <v>0.96203284815106216</v>
      </c>
      <c r="S306" s="22">
        <f>IF(Tabell2[[#This Row],[Inntekt]]&lt;=J$434,J$434,IF(Tabell2[[#This Row],[Inntekt]]&gt;=J$435,J$435,Tabell2[[#This Row],[Inntekt]]))</f>
        <v>348700</v>
      </c>
      <c r="T306" s="22">
        <f>IF(Tabell2[[#This Row],[NIBR11-T]]&lt;=K$437,100,IF(Tabell2[[#This Row],[NIBR11-T]]&gt;=K$436,0,100*(K$436-Tabell2[[#This Row],[NIBR11-T]])/K$439))</f>
        <v>0</v>
      </c>
      <c r="U306" s="7">
        <f>IF(Tabell2[[#This Row],[ReisetidOslo-T]]&lt;=L$437,100,IF(Tabell2[[#This Row],[ReisetidOslo-T]]&gt;=L$436,0,100*(L$436-Tabell2[[#This Row],[ReisetidOslo-T]])/L$439))</f>
        <v>4.6756855575965961</v>
      </c>
      <c r="V306" s="7">
        <f>100-(M$436-Tabell2[[#This Row],[Beftettotal-T]])*100/M$439</f>
        <v>1.603214820908704</v>
      </c>
      <c r="W306" s="7">
        <f>100-(N$436-Tabell2[[#This Row],[Befvekst10-T]])*100/N$439</f>
        <v>19.940774299429748</v>
      </c>
      <c r="X306" s="7">
        <f>100-(O$436-Tabell2[[#This Row],[Kvinneandel-T]])*100/O$439</f>
        <v>0</v>
      </c>
      <c r="Y306" s="7">
        <f>(P$436-Tabell2[[#This Row],[Eldreandel-T]])*100/P$439</f>
        <v>9.8922131083997407</v>
      </c>
      <c r="Z306" s="7">
        <f>100-(Q$436-Tabell2[[#This Row],[Sysselsettingsvekst10-T]])*100/Q$439</f>
        <v>62.845696018950136</v>
      </c>
      <c r="AA306" s="7">
        <f>100-(R$436-Tabell2[[#This Row],[Yrkesaktivandel-T]])*100/R$439</f>
        <v>100</v>
      </c>
      <c r="AB306" s="7">
        <f>100-(S$436-Tabell2[[#This Row],[Inntekt-T]])*100/S$439</f>
        <v>19.804968655676802</v>
      </c>
      <c r="AC306" s="55">
        <f>Tabell2[[#This Row],[NIBR11-I]]*Vekter!$B$3</f>
        <v>0</v>
      </c>
      <c r="AD306" s="55">
        <f>Tabell2[[#This Row],[ReisetidOslo-I]]*Vekter!$C$3</f>
        <v>0.46756855575965961</v>
      </c>
      <c r="AE306" s="55">
        <f>Tabell2[[#This Row],[Beftettotal-I]]*Vekter!$D$3</f>
        <v>0.16032148209087041</v>
      </c>
      <c r="AF306" s="55">
        <f>Tabell2[[#This Row],[Befvekst10-I]]*Vekter!$E$3</f>
        <v>3.9881548598859498</v>
      </c>
      <c r="AG306" s="55">
        <f>Tabell2[[#This Row],[Kvinneandel-I]]*Vekter!$F$3</f>
        <v>0</v>
      </c>
      <c r="AH306" s="55">
        <f>Tabell2[[#This Row],[Eldreandel-I]]*Vekter!$G$3</f>
        <v>0.49461065541998706</v>
      </c>
      <c r="AI306" s="55">
        <f>Tabell2[[#This Row],[Sysselsettingsvekst10-I]]*Vekter!$H$3</f>
        <v>6.2845696018950141</v>
      </c>
      <c r="AJ306" s="55">
        <f>Tabell2[[#This Row],[Yrkesaktivandel-I]]*Vekter!$J$3</f>
        <v>10</v>
      </c>
      <c r="AK306" s="55">
        <f>Tabell2[[#This Row],[Inntekt-I]]*Vekter!$L$3</f>
        <v>1.9804968655676802</v>
      </c>
      <c r="AL306" s="56">
        <f>SUM(Tabell2[[#This Row],[NIBR11-v]:[Inntekt-v]])</f>
        <v>23.375722020619161</v>
      </c>
    </row>
    <row r="307" spans="1:38" x14ac:dyDescent="0.25">
      <c r="A307" s="2" t="s">
        <v>304</v>
      </c>
      <c r="B307">
        <f>'Rådata-K'!M306</f>
        <v>11</v>
      </c>
      <c r="C307" s="7">
        <f>'Rådata-K'!L306</f>
        <v>309.05</v>
      </c>
      <c r="D307" s="34">
        <f>'Rådata-K'!N306</f>
        <v>2.6078368567157804</v>
      </c>
      <c r="E307" s="34">
        <f>'Rådata-K'!O306</f>
        <v>-9.0316573556797008E-2</v>
      </c>
      <c r="F307" s="34">
        <f>'Rådata-K'!P306</f>
        <v>9.2118730808597754E-2</v>
      </c>
      <c r="G307" s="34">
        <f>'Rådata-K'!Q306</f>
        <v>0.21903787103377687</v>
      </c>
      <c r="H307" s="34">
        <f>'Rådata-K'!R306</f>
        <v>2.1739130434782705E-2</v>
      </c>
      <c r="I307" s="34">
        <f>'Rådata-K'!S306</f>
        <v>0.96408317580340264</v>
      </c>
      <c r="J307" s="22">
        <f>'Rådata-K'!K306</f>
        <v>329100</v>
      </c>
      <c r="K307" s="22">
        <f>Tabell2[[#This Row],[NIBR11]]</f>
        <v>11</v>
      </c>
      <c r="L307" s="32">
        <f>IF(Tabell2[[#This Row],[ReisetidOslo]]&lt;=C$434,C$434,IF(Tabell2[[#This Row],[ReisetidOslo]]&gt;=C$435,C$435,Tabell2[[#This Row],[ReisetidOslo]]))</f>
        <v>280.45666666669001</v>
      </c>
      <c r="M307" s="32">
        <f>IF(Tabell2[[#This Row],[Beftettotal]]&lt;=D$434,D$434,IF(Tabell2[[#This Row],[Beftettotal]]&gt;=D$435,D$435,Tabell2[[#This Row],[Beftettotal]]))</f>
        <v>2.6078368567157804</v>
      </c>
      <c r="N307" s="34">
        <f>IF(Tabell2[[#This Row],[Befvekst10]]&lt;=E$434,E$434,IF(Tabell2[[#This Row],[Befvekst10]]&gt;=E$435,E$435,Tabell2[[#This Row],[Befvekst10]]))</f>
        <v>-7.6196156394963507E-2</v>
      </c>
      <c r="O307" s="34">
        <f>IF(Tabell2[[#This Row],[Kvinneandel]]&lt;=F$434,F$434,IF(Tabell2[[#This Row],[Kvinneandel]]&gt;=F$435,F$435,Tabell2[[#This Row],[Kvinneandel]]))</f>
        <v>9.2118730808597754E-2</v>
      </c>
      <c r="P307" s="34">
        <f>IF(Tabell2[[#This Row],[Eldreandel]]&lt;=G$434,G$434,IF(Tabell2[[#This Row],[Eldreandel]]&gt;=G$435,G$435,Tabell2[[#This Row],[Eldreandel]]))</f>
        <v>0.21438492803547596</v>
      </c>
      <c r="Q307" s="34">
        <f>IF(Tabell2[[#This Row],[Sysselsettingsvekst10]]&lt;=H$434,H$434,IF(Tabell2[[#This Row],[Sysselsettingsvekst10]]&gt;=H$435,H$435,Tabell2[[#This Row],[Sysselsettingsvekst10]]))</f>
        <v>2.1739130434782705E-2</v>
      </c>
      <c r="R307" s="34">
        <f>IF(Tabell2[[#This Row],[Yrkesaktivandel]]&lt;=I$434,I$434,IF(Tabell2[[#This Row],[Yrkesaktivandel]]&gt;=I$435,I$435,Tabell2[[#This Row],[Yrkesaktivandel]]))</f>
        <v>0.96203284815106216</v>
      </c>
      <c r="S307" s="22">
        <f>IF(Tabell2[[#This Row],[Inntekt]]&lt;=J$434,J$434,IF(Tabell2[[#This Row],[Inntekt]]&gt;=J$435,J$435,Tabell2[[#This Row],[Inntekt]]))</f>
        <v>331640</v>
      </c>
      <c r="T307" s="22">
        <f>IF(Tabell2[[#This Row],[NIBR11-T]]&lt;=K$437,100,IF(Tabell2[[#This Row],[NIBR11-T]]&gt;=K$436,0,100*(K$436-Tabell2[[#This Row],[NIBR11-T]])/K$439))</f>
        <v>0</v>
      </c>
      <c r="U307" s="7">
        <f>IF(Tabell2[[#This Row],[ReisetidOslo-T]]&lt;=L$437,100,IF(Tabell2[[#This Row],[ReisetidOslo-T]]&gt;=L$436,0,100*(L$436-Tabell2[[#This Row],[ReisetidOslo-T]])/L$439))</f>
        <v>0</v>
      </c>
      <c r="V307" s="7">
        <f>100-(M$436-Tabell2[[#This Row],[Beftettotal-T]])*100/M$439</f>
        <v>0.98867353165933025</v>
      </c>
      <c r="W307" s="7">
        <f>100-(N$436-Tabell2[[#This Row],[Befvekst10-T]])*100/N$439</f>
        <v>0</v>
      </c>
      <c r="X307" s="7">
        <f>100-(O$436-Tabell2[[#This Row],[Kvinneandel-T]])*100/O$439</f>
        <v>4.3033700477682402</v>
      </c>
      <c r="Y307" s="7">
        <f>(P$436-Tabell2[[#This Row],[Eldreandel-T]])*100/P$439</f>
        <v>0</v>
      </c>
      <c r="Z307" s="7">
        <f>100-(Q$436-Tabell2[[#This Row],[Sysselsettingsvekst10-T]])*100/Q$439</f>
        <v>27.216843064428716</v>
      </c>
      <c r="AA307" s="7">
        <f>100-(R$436-Tabell2[[#This Row],[Yrkesaktivandel-T]])*100/R$439</f>
        <v>100</v>
      </c>
      <c r="AB307" s="7">
        <f>100-(S$436-Tabell2[[#This Row],[Inntekt-T]])*100/S$439</f>
        <v>0</v>
      </c>
      <c r="AC307" s="55">
        <f>Tabell2[[#This Row],[NIBR11-I]]*Vekter!$B$3</f>
        <v>0</v>
      </c>
      <c r="AD307" s="55">
        <f>Tabell2[[#This Row],[ReisetidOslo-I]]*Vekter!$C$3</f>
        <v>0</v>
      </c>
      <c r="AE307" s="55">
        <f>Tabell2[[#This Row],[Beftettotal-I]]*Vekter!$D$3</f>
        <v>9.8867353165933036E-2</v>
      </c>
      <c r="AF307" s="55">
        <f>Tabell2[[#This Row],[Befvekst10-I]]*Vekter!$E$3</f>
        <v>0</v>
      </c>
      <c r="AG307" s="55">
        <f>Tabell2[[#This Row],[Kvinneandel-I]]*Vekter!$F$3</f>
        <v>0.21516850238841201</v>
      </c>
      <c r="AH307" s="55">
        <f>Tabell2[[#This Row],[Eldreandel-I]]*Vekter!$G$3</f>
        <v>0</v>
      </c>
      <c r="AI307" s="55">
        <f>Tabell2[[#This Row],[Sysselsettingsvekst10-I]]*Vekter!$H$3</f>
        <v>2.7216843064428717</v>
      </c>
      <c r="AJ307" s="55">
        <f>Tabell2[[#This Row],[Yrkesaktivandel-I]]*Vekter!$J$3</f>
        <v>10</v>
      </c>
      <c r="AK307" s="55">
        <f>Tabell2[[#This Row],[Inntekt-I]]*Vekter!$L$3</f>
        <v>0</v>
      </c>
      <c r="AL307" s="56">
        <f>SUM(Tabell2[[#This Row],[NIBR11-v]:[Inntekt-v]])</f>
        <v>13.035720161997217</v>
      </c>
    </row>
    <row r="308" spans="1:38" x14ac:dyDescent="0.25">
      <c r="A308" s="2" t="s">
        <v>305</v>
      </c>
      <c r="B308">
        <f>'Rådata-K'!M307</f>
        <v>11</v>
      </c>
      <c r="C308" s="7">
        <f>'Rådata-K'!L307</f>
        <v>273.14999999999998</v>
      </c>
      <c r="D308" s="34">
        <f>'Rådata-K'!N307</f>
        <v>2.6086731926543894</v>
      </c>
      <c r="E308" s="34">
        <f>'Rådata-K'!O307</f>
        <v>-3.9923954372623527E-2</v>
      </c>
      <c r="F308" s="34">
        <f>'Rådata-K'!P307</f>
        <v>9.3069306930693069E-2</v>
      </c>
      <c r="G308" s="34">
        <f>'Rådata-K'!Q307</f>
        <v>0.23465346534653464</v>
      </c>
      <c r="H308" s="34">
        <f>'Rådata-K'!R307</f>
        <v>1.4563106796116498E-2</v>
      </c>
      <c r="I308" s="34">
        <f>'Rådata-K'!S307</f>
        <v>0.99607072691552068</v>
      </c>
      <c r="J308" s="22">
        <f>'Rådata-K'!K307</f>
        <v>338400</v>
      </c>
      <c r="K308" s="22">
        <f>Tabell2[[#This Row],[NIBR11]]</f>
        <v>11</v>
      </c>
      <c r="L308" s="32">
        <f>IF(Tabell2[[#This Row],[ReisetidOslo]]&lt;=C$434,C$434,IF(Tabell2[[#This Row],[ReisetidOslo]]&gt;=C$435,C$435,Tabell2[[#This Row],[ReisetidOslo]]))</f>
        <v>273.14999999999998</v>
      </c>
      <c r="M308" s="32">
        <f>IF(Tabell2[[#This Row],[Beftettotal]]&lt;=D$434,D$434,IF(Tabell2[[#This Row],[Beftettotal]]&gt;=D$435,D$435,Tabell2[[#This Row],[Beftettotal]]))</f>
        <v>2.6086731926543894</v>
      </c>
      <c r="N308" s="34">
        <f>IF(Tabell2[[#This Row],[Befvekst10]]&lt;=E$434,E$434,IF(Tabell2[[#This Row],[Befvekst10]]&gt;=E$435,E$435,Tabell2[[#This Row],[Befvekst10]]))</f>
        <v>-3.9923954372623527E-2</v>
      </c>
      <c r="O308" s="34">
        <f>IF(Tabell2[[#This Row],[Kvinneandel]]&lt;=F$434,F$434,IF(Tabell2[[#This Row],[Kvinneandel]]&gt;=F$435,F$435,Tabell2[[#This Row],[Kvinneandel]]))</f>
        <v>9.3069306930693069E-2</v>
      </c>
      <c r="P308" s="34">
        <f>IF(Tabell2[[#This Row],[Eldreandel]]&lt;=G$434,G$434,IF(Tabell2[[#This Row],[Eldreandel]]&gt;=G$435,G$435,Tabell2[[#This Row],[Eldreandel]]))</f>
        <v>0.21438492803547596</v>
      </c>
      <c r="Q308" s="34">
        <f>IF(Tabell2[[#This Row],[Sysselsettingsvekst10]]&lt;=H$434,H$434,IF(Tabell2[[#This Row],[Sysselsettingsvekst10]]&gt;=H$435,H$435,Tabell2[[#This Row],[Sysselsettingsvekst10]]))</f>
        <v>1.4563106796116498E-2</v>
      </c>
      <c r="R308" s="34">
        <f>IF(Tabell2[[#This Row],[Yrkesaktivandel]]&lt;=I$434,I$434,IF(Tabell2[[#This Row],[Yrkesaktivandel]]&gt;=I$435,I$435,Tabell2[[#This Row],[Yrkesaktivandel]]))</f>
        <v>0.96203284815106216</v>
      </c>
      <c r="S308" s="22">
        <f>IF(Tabell2[[#This Row],[Inntekt]]&lt;=J$434,J$434,IF(Tabell2[[#This Row],[Inntekt]]&gt;=J$435,J$435,Tabell2[[#This Row],[Inntekt]]))</f>
        <v>338400</v>
      </c>
      <c r="T308" s="22">
        <f>IF(Tabell2[[#This Row],[NIBR11-T]]&lt;=K$437,100,IF(Tabell2[[#This Row],[NIBR11-T]]&gt;=K$436,0,100*(K$436-Tabell2[[#This Row],[NIBR11-T]])/K$439))</f>
        <v>0</v>
      </c>
      <c r="U308" s="7">
        <f>IF(Tabell2[[#This Row],[ReisetidOslo-T]]&lt;=L$437,100,IF(Tabell2[[#This Row],[ReisetidOslo-T]]&gt;=L$436,0,100*(L$436-Tabell2[[#This Row],[ReisetidOslo-T]])/L$439))</f>
        <v>3.2058500914176027</v>
      </c>
      <c r="V308" s="7">
        <f>100-(M$436-Tabell2[[#This Row],[Beftettotal-T]])*100/M$439</f>
        <v>0.98932049670341371</v>
      </c>
      <c r="W308" s="7">
        <f>100-(N$436-Tabell2[[#This Row],[Befvekst10-T]])*100/N$439</f>
        <v>14.604514435892284</v>
      </c>
      <c r="X308" s="7">
        <f>100-(O$436-Tabell2[[#This Row],[Kvinneandel-T]])*100/O$439</f>
        <v>6.8152498355689204</v>
      </c>
      <c r="Y308" s="7">
        <f>(P$436-Tabell2[[#This Row],[Eldreandel-T]])*100/P$439</f>
        <v>0</v>
      </c>
      <c r="Z308" s="7">
        <f>100-(Q$436-Tabell2[[#This Row],[Sysselsettingsvekst10-T]])*100/Q$439</f>
        <v>25.081682499021042</v>
      </c>
      <c r="AA308" s="7">
        <f>100-(R$436-Tabell2[[#This Row],[Yrkesaktivandel-T]])*100/R$439</f>
        <v>100</v>
      </c>
      <c r="AB308" s="7">
        <f>100-(S$436-Tabell2[[#This Row],[Inntekt-T]])*100/S$439</f>
        <v>7.8476898072904504</v>
      </c>
      <c r="AC308" s="55">
        <f>Tabell2[[#This Row],[NIBR11-I]]*Vekter!$B$3</f>
        <v>0</v>
      </c>
      <c r="AD308" s="55">
        <f>Tabell2[[#This Row],[ReisetidOslo-I]]*Vekter!$C$3</f>
        <v>0.3205850091417603</v>
      </c>
      <c r="AE308" s="55">
        <f>Tabell2[[#This Row],[Beftettotal-I]]*Vekter!$D$3</f>
        <v>9.8932049670341374E-2</v>
      </c>
      <c r="AF308" s="55">
        <f>Tabell2[[#This Row],[Befvekst10-I]]*Vekter!$E$3</f>
        <v>2.9209028871784568</v>
      </c>
      <c r="AG308" s="55">
        <f>Tabell2[[#This Row],[Kvinneandel-I]]*Vekter!$F$3</f>
        <v>0.34076249177844603</v>
      </c>
      <c r="AH308" s="55">
        <f>Tabell2[[#This Row],[Eldreandel-I]]*Vekter!$G$3</f>
        <v>0</v>
      </c>
      <c r="AI308" s="55">
        <f>Tabell2[[#This Row],[Sysselsettingsvekst10-I]]*Vekter!$H$3</f>
        <v>2.5081682499021043</v>
      </c>
      <c r="AJ308" s="55">
        <f>Tabell2[[#This Row],[Yrkesaktivandel-I]]*Vekter!$J$3</f>
        <v>10</v>
      </c>
      <c r="AK308" s="55">
        <f>Tabell2[[#This Row],[Inntekt-I]]*Vekter!$L$3</f>
        <v>0.78476898072904511</v>
      </c>
      <c r="AL308" s="56">
        <f>SUM(Tabell2[[#This Row],[NIBR11-v]:[Inntekt-v]])</f>
        <v>16.974119668400153</v>
      </c>
    </row>
    <row r="309" spans="1:38" x14ac:dyDescent="0.25">
      <c r="A309" s="2" t="s">
        <v>306</v>
      </c>
      <c r="B309">
        <f>'Rådata-K'!M308</f>
        <v>9</v>
      </c>
      <c r="C309" s="7">
        <f>'Rådata-K'!L308</f>
        <v>267.93333333300001</v>
      </c>
      <c r="D309" s="34">
        <f>'Rådata-K'!N308</f>
        <v>3.013046862288983</v>
      </c>
      <c r="E309" s="34">
        <f>'Rådata-K'!O308</f>
        <v>5.855090375405525E-2</v>
      </c>
      <c r="F309" s="34">
        <f>'Rådata-K'!P308</f>
        <v>0.10683012259194395</v>
      </c>
      <c r="G309" s="34">
        <f>'Rådata-K'!Q308</f>
        <v>0.17527729130180969</v>
      </c>
      <c r="H309" s="34">
        <f>'Rådata-K'!R308</f>
        <v>5.2485334979932574E-3</v>
      </c>
      <c r="I309" s="34">
        <f>'Rådata-K'!S308</f>
        <v>0.9279538904899135</v>
      </c>
      <c r="J309" s="22">
        <f>'Rådata-K'!K308</f>
        <v>354900</v>
      </c>
      <c r="K309" s="22">
        <f>Tabell2[[#This Row],[NIBR11]]</f>
        <v>9</v>
      </c>
      <c r="L309" s="32">
        <f>IF(Tabell2[[#This Row],[ReisetidOslo]]&lt;=C$434,C$434,IF(Tabell2[[#This Row],[ReisetidOslo]]&gt;=C$435,C$435,Tabell2[[#This Row],[ReisetidOslo]]))</f>
        <v>267.93333333300001</v>
      </c>
      <c r="M309" s="32">
        <f>IF(Tabell2[[#This Row],[Beftettotal]]&lt;=D$434,D$434,IF(Tabell2[[#This Row],[Beftettotal]]&gt;=D$435,D$435,Tabell2[[#This Row],[Beftettotal]]))</f>
        <v>3.013046862288983</v>
      </c>
      <c r="N309" s="34">
        <f>IF(Tabell2[[#This Row],[Befvekst10]]&lt;=E$434,E$434,IF(Tabell2[[#This Row],[Befvekst10]]&gt;=E$435,E$435,Tabell2[[#This Row],[Befvekst10]]))</f>
        <v>5.855090375405525E-2</v>
      </c>
      <c r="O309" s="34">
        <f>IF(Tabell2[[#This Row],[Kvinneandel]]&lt;=F$434,F$434,IF(Tabell2[[#This Row],[Kvinneandel]]&gt;=F$435,F$435,Tabell2[[#This Row],[Kvinneandel]]))</f>
        <v>0.10683012259194395</v>
      </c>
      <c r="P309" s="34">
        <f>IF(Tabell2[[#This Row],[Eldreandel]]&lt;=G$434,G$434,IF(Tabell2[[#This Row],[Eldreandel]]&gt;=G$435,G$435,Tabell2[[#This Row],[Eldreandel]]))</f>
        <v>0.17527729130180969</v>
      </c>
      <c r="Q309" s="34">
        <f>IF(Tabell2[[#This Row],[Sysselsettingsvekst10]]&lt;=H$434,H$434,IF(Tabell2[[#This Row],[Sysselsettingsvekst10]]&gt;=H$435,H$435,Tabell2[[#This Row],[Sysselsettingsvekst10]]))</f>
        <v>5.2485334979932574E-3</v>
      </c>
      <c r="R309" s="34">
        <f>IF(Tabell2[[#This Row],[Yrkesaktivandel]]&lt;=I$434,I$434,IF(Tabell2[[#This Row],[Yrkesaktivandel]]&gt;=I$435,I$435,Tabell2[[#This Row],[Yrkesaktivandel]]))</f>
        <v>0.9279538904899135</v>
      </c>
      <c r="S309" s="22">
        <f>IF(Tabell2[[#This Row],[Inntekt]]&lt;=J$434,J$434,IF(Tabell2[[#This Row],[Inntekt]]&gt;=J$435,J$435,Tabell2[[#This Row],[Inntekt]]))</f>
        <v>354900</v>
      </c>
      <c r="T309" s="22">
        <f>IF(Tabell2[[#This Row],[NIBR11-T]]&lt;=K$437,100,IF(Tabell2[[#This Row],[NIBR11-T]]&gt;=K$436,0,100*(K$436-Tabell2[[#This Row],[NIBR11-T]])/K$439))</f>
        <v>20</v>
      </c>
      <c r="U309" s="7">
        <f>IF(Tabell2[[#This Row],[ReisetidOslo-T]]&lt;=L$437,100,IF(Tabell2[[#This Row],[ReisetidOslo-T]]&gt;=L$436,0,100*(L$436-Tabell2[[#This Row],[ReisetidOslo-T]])/L$439))</f>
        <v>5.4946983548177206</v>
      </c>
      <c r="V309" s="7">
        <f>100-(M$436-Tabell2[[#This Row],[Beftettotal-T]])*100/M$439</f>
        <v>1.3021321515916497</v>
      </c>
      <c r="W309" s="7">
        <f>100-(N$436-Tabell2[[#This Row],[Befvekst10-T]])*100/N$439</f>
        <v>54.254091988359406</v>
      </c>
      <c r="X309" s="7">
        <f>100-(O$436-Tabell2[[#This Row],[Kvinneandel-T]])*100/O$439</f>
        <v>43.177950222946393</v>
      </c>
      <c r="Y309" s="7">
        <f>(P$436-Tabell2[[#This Row],[Eldreandel-T]])*100/P$439</f>
        <v>42.85226875621543</v>
      </c>
      <c r="Z309" s="7">
        <f>100-(Q$436-Tabell2[[#This Row],[Sysselsettingsvekst10-T]])*100/Q$439</f>
        <v>22.310215933249182</v>
      </c>
      <c r="AA309" s="7">
        <f>100-(R$436-Tabell2[[#This Row],[Yrkesaktivandel-T]])*100/R$439</f>
        <v>73.796970649319263</v>
      </c>
      <c r="AB309" s="7">
        <f>100-(S$436-Tabell2[[#This Row],[Inntekt-T]])*100/S$439</f>
        <v>27.002553981889946</v>
      </c>
      <c r="AC309" s="55">
        <f>Tabell2[[#This Row],[NIBR11-I]]*Vekter!$B$3</f>
        <v>4</v>
      </c>
      <c r="AD309" s="55">
        <f>Tabell2[[#This Row],[ReisetidOslo-I]]*Vekter!$C$3</f>
        <v>0.54946983548177208</v>
      </c>
      <c r="AE309" s="55">
        <f>Tabell2[[#This Row],[Beftettotal-I]]*Vekter!$D$3</f>
        <v>0.13021321515916498</v>
      </c>
      <c r="AF309" s="55">
        <f>Tabell2[[#This Row],[Befvekst10-I]]*Vekter!$E$3</f>
        <v>10.850818397671881</v>
      </c>
      <c r="AG309" s="55">
        <f>Tabell2[[#This Row],[Kvinneandel-I]]*Vekter!$F$3</f>
        <v>2.1588975111473196</v>
      </c>
      <c r="AH309" s="55">
        <f>Tabell2[[#This Row],[Eldreandel-I]]*Vekter!$G$3</f>
        <v>2.1426134378107715</v>
      </c>
      <c r="AI309" s="55">
        <f>Tabell2[[#This Row],[Sysselsettingsvekst10-I]]*Vekter!$H$3</f>
        <v>2.2310215933249182</v>
      </c>
      <c r="AJ309" s="55">
        <f>Tabell2[[#This Row],[Yrkesaktivandel-I]]*Vekter!$J$3</f>
        <v>7.3796970649319267</v>
      </c>
      <c r="AK309" s="55">
        <f>Tabell2[[#This Row],[Inntekt-I]]*Vekter!$L$3</f>
        <v>2.700255398188995</v>
      </c>
      <c r="AL309" s="56">
        <f>SUM(Tabell2[[#This Row],[NIBR11-v]:[Inntekt-v]])</f>
        <v>32.142986453716745</v>
      </c>
    </row>
    <row r="310" spans="1:38" x14ac:dyDescent="0.25">
      <c r="A310" s="2" t="s">
        <v>307</v>
      </c>
      <c r="B310">
        <f>'Rådata-K'!M309</f>
        <v>5</v>
      </c>
      <c r="C310" s="7">
        <f>'Rådata-K'!L309</f>
        <v>243.05</v>
      </c>
      <c r="D310" s="34">
        <f>'Rådata-K'!N309</f>
        <v>2.7078915999451461</v>
      </c>
      <c r="E310" s="34">
        <f>'Rådata-K'!O309</f>
        <v>-3.4962406015037639E-2</v>
      </c>
      <c r="F310" s="34">
        <f>'Rådata-K'!P309</f>
        <v>9.037787300350604E-2</v>
      </c>
      <c r="G310" s="34">
        <f>'Rådata-K'!Q309</f>
        <v>0.20880405142189326</v>
      </c>
      <c r="H310" s="34">
        <f>'Rådata-K'!R309</f>
        <v>-2.8423772609819098E-2</v>
      </c>
      <c r="I310" s="34">
        <f>'Rådata-K'!S309</f>
        <v>0.95763330898466037</v>
      </c>
      <c r="J310" s="22">
        <f>'Rådata-K'!K309</f>
        <v>331500</v>
      </c>
      <c r="K310" s="22">
        <f>Tabell2[[#This Row],[NIBR11]]</f>
        <v>5</v>
      </c>
      <c r="L310" s="32">
        <f>IF(Tabell2[[#This Row],[ReisetidOslo]]&lt;=C$434,C$434,IF(Tabell2[[#This Row],[ReisetidOslo]]&gt;=C$435,C$435,Tabell2[[#This Row],[ReisetidOslo]]))</f>
        <v>243.05</v>
      </c>
      <c r="M310" s="32">
        <f>IF(Tabell2[[#This Row],[Beftettotal]]&lt;=D$434,D$434,IF(Tabell2[[#This Row],[Beftettotal]]&gt;=D$435,D$435,Tabell2[[#This Row],[Beftettotal]]))</f>
        <v>2.7078915999451461</v>
      </c>
      <c r="N310" s="34">
        <f>IF(Tabell2[[#This Row],[Befvekst10]]&lt;=E$434,E$434,IF(Tabell2[[#This Row],[Befvekst10]]&gt;=E$435,E$435,Tabell2[[#This Row],[Befvekst10]]))</f>
        <v>-3.4962406015037639E-2</v>
      </c>
      <c r="O310" s="34">
        <f>IF(Tabell2[[#This Row],[Kvinneandel]]&lt;=F$434,F$434,IF(Tabell2[[#This Row],[Kvinneandel]]&gt;=F$435,F$435,Tabell2[[#This Row],[Kvinneandel]]))</f>
        <v>9.0490197137593403E-2</v>
      </c>
      <c r="P310" s="34">
        <f>IF(Tabell2[[#This Row],[Eldreandel]]&lt;=G$434,G$434,IF(Tabell2[[#This Row],[Eldreandel]]&gt;=G$435,G$435,Tabell2[[#This Row],[Eldreandel]]))</f>
        <v>0.20880405142189326</v>
      </c>
      <c r="Q310" s="34">
        <f>IF(Tabell2[[#This Row],[Sysselsettingsvekst10]]&lt;=H$434,H$434,IF(Tabell2[[#This Row],[Sysselsettingsvekst10]]&gt;=H$435,H$435,Tabell2[[#This Row],[Sysselsettingsvekst10]]))</f>
        <v>-2.8423772609819098E-2</v>
      </c>
      <c r="R310" s="34">
        <f>IF(Tabell2[[#This Row],[Yrkesaktivandel]]&lt;=I$434,I$434,IF(Tabell2[[#This Row],[Yrkesaktivandel]]&gt;=I$435,I$435,Tabell2[[#This Row],[Yrkesaktivandel]]))</f>
        <v>0.95763330898466037</v>
      </c>
      <c r="S310" s="22">
        <f>IF(Tabell2[[#This Row],[Inntekt]]&lt;=J$434,J$434,IF(Tabell2[[#This Row],[Inntekt]]&gt;=J$435,J$435,Tabell2[[#This Row],[Inntekt]]))</f>
        <v>331640</v>
      </c>
      <c r="T310" s="22">
        <f>IF(Tabell2[[#This Row],[NIBR11-T]]&lt;=K$437,100,IF(Tabell2[[#This Row],[NIBR11-T]]&gt;=K$436,0,100*(K$436-Tabell2[[#This Row],[NIBR11-T]])/K$439))</f>
        <v>60</v>
      </c>
      <c r="U310" s="7">
        <f>IF(Tabell2[[#This Row],[ReisetidOslo-T]]&lt;=L$437,100,IF(Tabell2[[#This Row],[ReisetidOslo-T]]&gt;=L$436,0,100*(L$436-Tabell2[[#This Row],[ReisetidOslo-T]])/L$439))</f>
        <v>16.412431444249872</v>
      </c>
      <c r="V310" s="7">
        <f>100-(M$436-Tabell2[[#This Row],[Beftettotal-T]])*100/M$439</f>
        <v>1.0660729573867229</v>
      </c>
      <c r="W310" s="7">
        <f>100-(N$436-Tabell2[[#This Row],[Befvekst10-T]])*100/N$439</f>
        <v>16.602215170138081</v>
      </c>
      <c r="X310" s="7">
        <f>100-(O$436-Tabell2[[#This Row],[Kvinneandel-T]])*100/O$439</f>
        <v>0</v>
      </c>
      <c r="Y310" s="7">
        <f>(P$436-Tabell2[[#This Row],[Eldreandel-T]])*100/P$439</f>
        <v>6.1152563671699784</v>
      </c>
      <c r="Z310" s="7">
        <f>100-(Q$436-Tabell2[[#This Row],[Sysselsettingsvekst10-T]])*100/Q$439</f>
        <v>12.291327511485321</v>
      </c>
      <c r="AA310" s="7">
        <f>100-(R$436-Tabell2[[#This Row],[Yrkesaktivandel-T]])*100/R$439</f>
        <v>96.61723063677735</v>
      </c>
      <c r="AB310" s="7">
        <f>100-(S$436-Tabell2[[#This Row],[Inntekt-T]])*100/S$439</f>
        <v>0</v>
      </c>
      <c r="AC310" s="55">
        <f>Tabell2[[#This Row],[NIBR11-I]]*Vekter!$B$3</f>
        <v>12</v>
      </c>
      <c r="AD310" s="55">
        <f>Tabell2[[#This Row],[ReisetidOslo-I]]*Vekter!$C$3</f>
        <v>1.6412431444249873</v>
      </c>
      <c r="AE310" s="55">
        <f>Tabell2[[#This Row],[Beftettotal-I]]*Vekter!$D$3</f>
        <v>0.10660729573867229</v>
      </c>
      <c r="AF310" s="55">
        <f>Tabell2[[#This Row],[Befvekst10-I]]*Vekter!$E$3</f>
        <v>3.3204430340276163</v>
      </c>
      <c r="AG310" s="55">
        <f>Tabell2[[#This Row],[Kvinneandel-I]]*Vekter!$F$3</f>
        <v>0</v>
      </c>
      <c r="AH310" s="55">
        <f>Tabell2[[#This Row],[Eldreandel-I]]*Vekter!$G$3</f>
        <v>0.30576281835849894</v>
      </c>
      <c r="AI310" s="55">
        <f>Tabell2[[#This Row],[Sysselsettingsvekst10-I]]*Vekter!$H$3</f>
        <v>1.2291327511485322</v>
      </c>
      <c r="AJ310" s="55">
        <f>Tabell2[[#This Row],[Yrkesaktivandel-I]]*Vekter!$J$3</f>
        <v>9.6617230636777354</v>
      </c>
      <c r="AK310" s="55">
        <f>Tabell2[[#This Row],[Inntekt-I]]*Vekter!$L$3</f>
        <v>0</v>
      </c>
      <c r="AL310" s="56">
        <f>SUM(Tabell2[[#This Row],[NIBR11-v]:[Inntekt-v]])</f>
        <v>28.264912107376041</v>
      </c>
    </row>
    <row r="311" spans="1:38" x14ac:dyDescent="0.25">
      <c r="A311" s="2" t="s">
        <v>308</v>
      </c>
      <c r="B311">
        <f>'Rådata-K'!M310</f>
        <v>5</v>
      </c>
      <c r="C311" s="7">
        <f>'Rådata-K'!L310</f>
        <v>237.76666666670002</v>
      </c>
      <c r="D311" s="34">
        <f>'Rådata-K'!N310</f>
        <v>6.4677590282872757</v>
      </c>
      <c r="E311" s="34">
        <f>'Rådata-K'!O310</f>
        <v>8.3884087442807065E-3</v>
      </c>
      <c r="F311" s="34">
        <f>'Rådata-K'!P310</f>
        <v>0.10184018149735316</v>
      </c>
      <c r="G311" s="34">
        <f>'Rådata-K'!Q310</f>
        <v>0.19183261910763802</v>
      </c>
      <c r="H311" s="34">
        <f>'Rådata-K'!R310</f>
        <v>-7.1864406779660994E-2</v>
      </c>
      <c r="I311" s="34">
        <f>'Rådata-K'!S310</f>
        <v>0.84935897435897434</v>
      </c>
      <c r="J311" s="22">
        <f>'Rådata-K'!K310</f>
        <v>338200</v>
      </c>
      <c r="K311" s="22">
        <f>Tabell2[[#This Row],[NIBR11]]</f>
        <v>5</v>
      </c>
      <c r="L311" s="32">
        <f>IF(Tabell2[[#This Row],[ReisetidOslo]]&lt;=C$434,C$434,IF(Tabell2[[#This Row],[ReisetidOslo]]&gt;=C$435,C$435,Tabell2[[#This Row],[ReisetidOslo]]))</f>
        <v>237.76666666670002</v>
      </c>
      <c r="M311" s="32">
        <f>IF(Tabell2[[#This Row],[Beftettotal]]&lt;=D$434,D$434,IF(Tabell2[[#This Row],[Beftettotal]]&gt;=D$435,D$435,Tabell2[[#This Row],[Beftettotal]]))</f>
        <v>6.4677590282872757</v>
      </c>
      <c r="N311" s="34">
        <f>IF(Tabell2[[#This Row],[Befvekst10]]&lt;=E$434,E$434,IF(Tabell2[[#This Row],[Befvekst10]]&gt;=E$435,E$435,Tabell2[[#This Row],[Befvekst10]]))</f>
        <v>8.3884087442807065E-3</v>
      </c>
      <c r="O311" s="34">
        <f>IF(Tabell2[[#This Row],[Kvinneandel]]&lt;=F$434,F$434,IF(Tabell2[[#This Row],[Kvinneandel]]&gt;=F$435,F$435,Tabell2[[#This Row],[Kvinneandel]]))</f>
        <v>0.10184018149735316</v>
      </c>
      <c r="P311" s="34">
        <f>IF(Tabell2[[#This Row],[Eldreandel]]&lt;=G$434,G$434,IF(Tabell2[[#This Row],[Eldreandel]]&gt;=G$435,G$435,Tabell2[[#This Row],[Eldreandel]]))</f>
        <v>0.19183261910763802</v>
      </c>
      <c r="Q311" s="34">
        <f>IF(Tabell2[[#This Row],[Sysselsettingsvekst10]]&lt;=H$434,H$434,IF(Tabell2[[#This Row],[Sysselsettingsvekst10]]&gt;=H$435,H$435,Tabell2[[#This Row],[Sysselsettingsvekst10]]))</f>
        <v>-6.9733479337269061E-2</v>
      </c>
      <c r="R311" s="34">
        <f>IF(Tabell2[[#This Row],[Yrkesaktivandel]]&lt;=I$434,I$434,IF(Tabell2[[#This Row],[Yrkesaktivandel]]&gt;=I$435,I$435,Tabell2[[#This Row],[Yrkesaktivandel]]))</f>
        <v>0.84935897435897434</v>
      </c>
      <c r="S311" s="22">
        <f>IF(Tabell2[[#This Row],[Inntekt]]&lt;=J$434,J$434,IF(Tabell2[[#This Row],[Inntekt]]&gt;=J$435,J$435,Tabell2[[#This Row],[Inntekt]]))</f>
        <v>338200</v>
      </c>
      <c r="T311" s="22">
        <f>IF(Tabell2[[#This Row],[NIBR11-T]]&lt;=K$437,100,IF(Tabell2[[#This Row],[NIBR11-T]]&gt;=K$436,0,100*(K$436-Tabell2[[#This Row],[NIBR11-T]])/K$439))</f>
        <v>60</v>
      </c>
      <c r="U311" s="7">
        <f>IF(Tabell2[[#This Row],[ReisetidOslo-T]]&lt;=L$437,100,IF(Tabell2[[#This Row],[ReisetidOslo-T]]&gt;=L$436,0,100*(L$436-Tabell2[[#This Row],[ReisetidOslo-T]])/L$439))</f>
        <v>18.730530164527512</v>
      </c>
      <c r="V311" s="7">
        <f>100-(M$436-Tabell2[[#This Row],[Beftettotal-T]])*100/M$439</f>
        <v>3.9745965353013304</v>
      </c>
      <c r="W311" s="7">
        <f>100-(N$436-Tabell2[[#This Row],[Befvekst10-T]])*100/N$439</f>
        <v>34.056837847035965</v>
      </c>
      <c r="X311" s="7">
        <f>100-(O$436-Tabell2[[#This Row],[Kvinneandel-T]])*100/O$439</f>
        <v>29.992123347566718</v>
      </c>
      <c r="Y311" s="7">
        <f>(P$436-Tabell2[[#This Row],[Eldreandel-T]])*100/P$439</f>
        <v>24.711736222530572</v>
      </c>
      <c r="Z311" s="7">
        <f>100-(Q$436-Tabell2[[#This Row],[Sysselsettingsvekst10-T]])*100/Q$439</f>
        <v>0</v>
      </c>
      <c r="AA311" s="7">
        <f>100-(R$436-Tabell2[[#This Row],[Yrkesaktivandel-T]])*100/R$439</f>
        <v>13.365988144795239</v>
      </c>
      <c r="AB311" s="7">
        <f>100-(S$436-Tabell2[[#This Row],[Inntekt-T]])*100/S$439</f>
        <v>7.6155096354771246</v>
      </c>
      <c r="AC311" s="55">
        <f>Tabell2[[#This Row],[NIBR11-I]]*Vekter!$B$3</f>
        <v>12</v>
      </c>
      <c r="AD311" s="55">
        <f>Tabell2[[#This Row],[ReisetidOslo-I]]*Vekter!$C$3</f>
        <v>1.8730530164527512</v>
      </c>
      <c r="AE311" s="55">
        <f>Tabell2[[#This Row],[Beftettotal-I]]*Vekter!$D$3</f>
        <v>0.39745965353013307</v>
      </c>
      <c r="AF311" s="55">
        <f>Tabell2[[#This Row],[Befvekst10-I]]*Vekter!$E$3</f>
        <v>6.8113675694071931</v>
      </c>
      <c r="AG311" s="55">
        <f>Tabell2[[#This Row],[Kvinneandel-I]]*Vekter!$F$3</f>
        <v>1.4996061673783361</v>
      </c>
      <c r="AH311" s="55">
        <f>Tabell2[[#This Row],[Eldreandel-I]]*Vekter!$G$3</f>
        <v>1.2355868111265287</v>
      </c>
      <c r="AI311" s="55">
        <f>Tabell2[[#This Row],[Sysselsettingsvekst10-I]]*Vekter!$H$3</f>
        <v>0</v>
      </c>
      <c r="AJ311" s="55">
        <f>Tabell2[[#This Row],[Yrkesaktivandel-I]]*Vekter!$J$3</f>
        <v>1.336598814479524</v>
      </c>
      <c r="AK311" s="55">
        <f>Tabell2[[#This Row],[Inntekt-I]]*Vekter!$L$3</f>
        <v>0.76155096354771246</v>
      </c>
      <c r="AL311" s="56">
        <f>SUM(Tabell2[[#This Row],[NIBR11-v]:[Inntekt-v]])</f>
        <v>25.915222995922175</v>
      </c>
    </row>
    <row r="312" spans="1:38" x14ac:dyDescent="0.25">
      <c r="A312" s="2" t="s">
        <v>309</v>
      </c>
      <c r="B312">
        <f>'Rådata-K'!M311</f>
        <v>5</v>
      </c>
      <c r="C312" s="7">
        <f>'Rådata-K'!L311</f>
        <v>207.45</v>
      </c>
      <c r="D312" s="34">
        <f>'Rådata-K'!N311</f>
        <v>19.714425066011874</v>
      </c>
      <c r="E312" s="34">
        <f>'Rådata-K'!O311</f>
        <v>0.11510654490106553</v>
      </c>
      <c r="F312" s="34">
        <f>'Rådata-K'!P311</f>
        <v>0.11644770516976626</v>
      </c>
      <c r="G312" s="34">
        <f>'Rådata-K'!Q311</f>
        <v>0.15193652960245693</v>
      </c>
      <c r="H312" s="34">
        <f>'Rådata-K'!R311</f>
        <v>0.11686816350028795</v>
      </c>
      <c r="I312" s="34">
        <f>'Rådata-K'!S311</f>
        <v>0.86343350193394819</v>
      </c>
      <c r="J312" s="22">
        <f>'Rådata-K'!K311</f>
        <v>371100</v>
      </c>
      <c r="K312" s="22">
        <f>Tabell2[[#This Row],[NIBR11]]</f>
        <v>5</v>
      </c>
      <c r="L312" s="32">
        <f>IF(Tabell2[[#This Row],[ReisetidOslo]]&lt;=C$434,C$434,IF(Tabell2[[#This Row],[ReisetidOslo]]&gt;=C$435,C$435,Tabell2[[#This Row],[ReisetidOslo]]))</f>
        <v>207.45</v>
      </c>
      <c r="M312" s="32">
        <f>IF(Tabell2[[#This Row],[Beftettotal]]&lt;=D$434,D$434,IF(Tabell2[[#This Row],[Beftettotal]]&gt;=D$435,D$435,Tabell2[[#This Row],[Beftettotal]]))</f>
        <v>19.714425066011874</v>
      </c>
      <c r="N312" s="34">
        <f>IF(Tabell2[[#This Row],[Befvekst10]]&lt;=E$434,E$434,IF(Tabell2[[#This Row],[Befvekst10]]&gt;=E$435,E$435,Tabell2[[#This Row],[Befvekst10]]))</f>
        <v>0.11510654490106553</v>
      </c>
      <c r="O312" s="34">
        <f>IF(Tabell2[[#This Row],[Kvinneandel]]&lt;=F$434,F$434,IF(Tabell2[[#This Row],[Kvinneandel]]&gt;=F$435,F$435,Tabell2[[#This Row],[Kvinneandel]]))</f>
        <v>0.11644770516976626</v>
      </c>
      <c r="P312" s="34">
        <f>IF(Tabell2[[#This Row],[Eldreandel]]&lt;=G$434,G$434,IF(Tabell2[[#This Row],[Eldreandel]]&gt;=G$435,G$435,Tabell2[[#This Row],[Eldreandel]]))</f>
        <v>0.15193652960245693</v>
      </c>
      <c r="Q312" s="34">
        <f>IF(Tabell2[[#This Row],[Sysselsettingsvekst10]]&lt;=H$434,H$434,IF(Tabell2[[#This Row],[Sysselsettingsvekst10]]&gt;=H$435,H$435,Tabell2[[#This Row],[Sysselsettingsvekst10]]))</f>
        <v>0.11686816350028795</v>
      </c>
      <c r="R312" s="34">
        <f>IF(Tabell2[[#This Row],[Yrkesaktivandel]]&lt;=I$434,I$434,IF(Tabell2[[#This Row],[Yrkesaktivandel]]&gt;=I$435,I$435,Tabell2[[#This Row],[Yrkesaktivandel]]))</f>
        <v>0.86343350193394819</v>
      </c>
      <c r="S312" s="22">
        <f>IF(Tabell2[[#This Row],[Inntekt]]&lt;=J$434,J$434,IF(Tabell2[[#This Row],[Inntekt]]&gt;=J$435,J$435,Tabell2[[#This Row],[Inntekt]]))</f>
        <v>371100</v>
      </c>
      <c r="T312" s="22">
        <f>IF(Tabell2[[#This Row],[NIBR11-T]]&lt;=K$437,100,IF(Tabell2[[#This Row],[NIBR11-T]]&gt;=K$436,0,100*(K$436-Tabell2[[#This Row],[NIBR11-T]])/K$439))</f>
        <v>60</v>
      </c>
      <c r="U312" s="7">
        <f>IF(Tabell2[[#This Row],[ReisetidOslo-T]]&lt;=L$437,100,IF(Tabell2[[#This Row],[ReisetidOslo-T]]&gt;=L$436,0,100*(L$436-Tabell2[[#This Row],[ReisetidOslo-T]])/L$439))</f>
        <v>32.032175502749197</v>
      </c>
      <c r="V312" s="7">
        <f>100-(M$436-Tabell2[[#This Row],[Beftettotal-T]])*100/M$439</f>
        <v>14.221830309836648</v>
      </c>
      <c r="W312" s="7">
        <f>100-(N$436-Tabell2[[#This Row],[Befvekst10-T]])*100/N$439</f>
        <v>77.025460460941872</v>
      </c>
      <c r="X312" s="7">
        <f>100-(O$436-Tabell2[[#This Row],[Kvinneandel-T]])*100/O$439</f>
        <v>68.592233964352431</v>
      </c>
      <c r="Y312" s="7">
        <f>(P$436-Tabell2[[#This Row],[Eldreandel-T]])*100/P$439</f>
        <v>68.427953631451231</v>
      </c>
      <c r="Z312" s="7">
        <f>100-(Q$436-Tabell2[[#This Row],[Sysselsettingsvekst10-T]])*100/Q$439</f>
        <v>55.521621623461087</v>
      </c>
      <c r="AA312" s="7">
        <f>100-(R$436-Tabell2[[#This Row],[Yrkesaktivandel-T]])*100/R$439</f>
        <v>24.187776264343455</v>
      </c>
      <c r="AB312" s="7">
        <f>100-(S$436-Tabell2[[#This Row],[Inntekt-T]])*100/S$439</f>
        <v>45.809147898769446</v>
      </c>
      <c r="AC312" s="55">
        <f>Tabell2[[#This Row],[NIBR11-I]]*Vekter!$B$3</f>
        <v>12</v>
      </c>
      <c r="AD312" s="55">
        <f>Tabell2[[#This Row],[ReisetidOslo-I]]*Vekter!$C$3</f>
        <v>3.2032175502749198</v>
      </c>
      <c r="AE312" s="55">
        <f>Tabell2[[#This Row],[Beftettotal-I]]*Vekter!$D$3</f>
        <v>1.4221830309836649</v>
      </c>
      <c r="AF312" s="55">
        <f>Tabell2[[#This Row],[Befvekst10-I]]*Vekter!$E$3</f>
        <v>15.405092092188376</v>
      </c>
      <c r="AG312" s="55">
        <f>Tabell2[[#This Row],[Kvinneandel-I]]*Vekter!$F$3</f>
        <v>3.4296116982176219</v>
      </c>
      <c r="AH312" s="55">
        <f>Tabell2[[#This Row],[Eldreandel-I]]*Vekter!$G$3</f>
        <v>3.4213976815725617</v>
      </c>
      <c r="AI312" s="55">
        <f>Tabell2[[#This Row],[Sysselsettingsvekst10-I]]*Vekter!$H$3</f>
        <v>5.552162162346109</v>
      </c>
      <c r="AJ312" s="55">
        <f>Tabell2[[#This Row],[Yrkesaktivandel-I]]*Vekter!$J$3</f>
        <v>2.4187776264343457</v>
      </c>
      <c r="AK312" s="55">
        <f>Tabell2[[#This Row],[Inntekt-I]]*Vekter!$L$3</f>
        <v>4.5809147898769451</v>
      </c>
      <c r="AL312" s="56">
        <f>SUM(Tabell2[[#This Row],[NIBR11-v]:[Inntekt-v]])</f>
        <v>51.43335663189454</v>
      </c>
    </row>
    <row r="313" spans="1:38" x14ac:dyDescent="0.25">
      <c r="A313" s="2" t="s">
        <v>310</v>
      </c>
      <c r="B313">
        <f>'Rådata-K'!M312</f>
        <v>9</v>
      </c>
      <c r="C313" s="7">
        <f>'Rådata-K'!L312</f>
        <v>155.43333333332998</v>
      </c>
      <c r="D313" s="34">
        <f>'Rådata-K'!N312</f>
        <v>2.8587346534046185</v>
      </c>
      <c r="E313" s="34">
        <f>'Rådata-K'!O312</f>
        <v>-7.6295244854506228E-3</v>
      </c>
      <c r="F313" s="34">
        <f>'Rådata-K'!P312</f>
        <v>0.1031646701233685</v>
      </c>
      <c r="G313" s="34">
        <f>'Rådata-K'!Q312</f>
        <v>0.19113177185767924</v>
      </c>
      <c r="H313" s="34">
        <f>'Rådata-K'!R312</f>
        <v>5.2415535206820296E-2</v>
      </c>
      <c r="I313" s="34">
        <f>'Rådata-K'!S312</f>
        <v>0.9509958899778691</v>
      </c>
      <c r="J313" s="22">
        <f>'Rådata-K'!K312</f>
        <v>361100</v>
      </c>
      <c r="K313" s="22">
        <f>Tabell2[[#This Row],[NIBR11]]</f>
        <v>9</v>
      </c>
      <c r="L313" s="32">
        <f>IF(Tabell2[[#This Row],[ReisetidOslo]]&lt;=C$434,C$434,IF(Tabell2[[#This Row],[ReisetidOslo]]&gt;=C$435,C$435,Tabell2[[#This Row],[ReisetidOslo]]))</f>
        <v>155.43333333332998</v>
      </c>
      <c r="M313" s="32">
        <f>IF(Tabell2[[#This Row],[Beftettotal]]&lt;=D$434,D$434,IF(Tabell2[[#This Row],[Beftettotal]]&gt;=D$435,D$435,Tabell2[[#This Row],[Beftettotal]]))</f>
        <v>2.8587346534046185</v>
      </c>
      <c r="N313" s="34">
        <f>IF(Tabell2[[#This Row],[Befvekst10]]&lt;=E$434,E$434,IF(Tabell2[[#This Row],[Befvekst10]]&gt;=E$435,E$435,Tabell2[[#This Row],[Befvekst10]]))</f>
        <v>-7.6295244854506228E-3</v>
      </c>
      <c r="O313" s="34">
        <f>IF(Tabell2[[#This Row],[Kvinneandel]]&lt;=F$434,F$434,IF(Tabell2[[#This Row],[Kvinneandel]]&gt;=F$435,F$435,Tabell2[[#This Row],[Kvinneandel]]))</f>
        <v>0.1031646701233685</v>
      </c>
      <c r="P313" s="34">
        <f>IF(Tabell2[[#This Row],[Eldreandel]]&lt;=G$434,G$434,IF(Tabell2[[#This Row],[Eldreandel]]&gt;=G$435,G$435,Tabell2[[#This Row],[Eldreandel]]))</f>
        <v>0.19113177185767924</v>
      </c>
      <c r="Q313" s="34">
        <f>IF(Tabell2[[#This Row],[Sysselsettingsvekst10]]&lt;=H$434,H$434,IF(Tabell2[[#This Row],[Sysselsettingsvekst10]]&gt;=H$435,H$435,Tabell2[[#This Row],[Sysselsettingsvekst10]]))</f>
        <v>5.2415535206820296E-2</v>
      </c>
      <c r="R313" s="34">
        <f>IF(Tabell2[[#This Row],[Yrkesaktivandel]]&lt;=I$434,I$434,IF(Tabell2[[#This Row],[Yrkesaktivandel]]&gt;=I$435,I$435,Tabell2[[#This Row],[Yrkesaktivandel]]))</f>
        <v>0.9509958899778691</v>
      </c>
      <c r="S313" s="22">
        <f>IF(Tabell2[[#This Row],[Inntekt]]&lt;=J$434,J$434,IF(Tabell2[[#This Row],[Inntekt]]&gt;=J$435,J$435,Tabell2[[#This Row],[Inntekt]]))</f>
        <v>361100</v>
      </c>
      <c r="T313" s="22">
        <f>IF(Tabell2[[#This Row],[NIBR11-T]]&lt;=K$437,100,IF(Tabell2[[#This Row],[NIBR11-T]]&gt;=K$436,0,100*(K$436-Tabell2[[#This Row],[NIBR11-T]])/K$439))</f>
        <v>20</v>
      </c>
      <c r="U313" s="7">
        <f>IF(Tabell2[[#This Row],[ReisetidOslo-T]]&lt;=L$437,100,IF(Tabell2[[#This Row],[ReisetidOslo-T]]&gt;=L$436,0,100*(L$436-Tabell2[[#This Row],[ReisetidOslo-T]])/L$439))</f>
        <v>54.854844606953073</v>
      </c>
      <c r="V313" s="7">
        <f>100-(M$436-Tabell2[[#This Row],[Beftettotal-T]])*100/M$439</f>
        <v>1.1827607358558083</v>
      </c>
      <c r="W313" s="7">
        <f>100-(N$436-Tabell2[[#This Row],[Befvekst10-T]])*100/N$439</f>
        <v>27.607432405847419</v>
      </c>
      <c r="X313" s="7">
        <f>100-(O$436-Tabell2[[#This Row],[Kvinneandel-T]])*100/O$439</f>
        <v>33.492059998117483</v>
      </c>
      <c r="Y313" s="7">
        <f>(P$436-Tabell2[[#This Row],[Eldreandel-T]])*100/P$439</f>
        <v>25.479690955178327</v>
      </c>
      <c r="Z313" s="7">
        <f>100-(Q$436-Tabell2[[#This Row],[Sysselsettingsvekst10-T]])*100/Q$439</f>
        <v>36.344328292433396</v>
      </c>
      <c r="AA313" s="7">
        <f>100-(R$436-Tabell2[[#This Row],[Yrkesaktivandel-T]])*100/R$439</f>
        <v>91.513773929649417</v>
      </c>
      <c r="AB313" s="7">
        <f>100-(S$436-Tabell2[[#This Row],[Inntekt-T]])*100/S$439</f>
        <v>34.20013930810309</v>
      </c>
      <c r="AC313" s="55">
        <f>Tabell2[[#This Row],[NIBR11-I]]*Vekter!$B$3</f>
        <v>4</v>
      </c>
      <c r="AD313" s="55">
        <f>Tabell2[[#This Row],[ReisetidOslo-I]]*Vekter!$C$3</f>
        <v>5.4854844606953073</v>
      </c>
      <c r="AE313" s="55">
        <f>Tabell2[[#This Row],[Beftettotal-I]]*Vekter!$D$3</f>
        <v>0.11827607358558084</v>
      </c>
      <c r="AF313" s="55">
        <f>Tabell2[[#This Row],[Befvekst10-I]]*Vekter!$E$3</f>
        <v>5.5214864811694842</v>
      </c>
      <c r="AG313" s="55">
        <f>Tabell2[[#This Row],[Kvinneandel-I]]*Vekter!$F$3</f>
        <v>1.6746029999058742</v>
      </c>
      <c r="AH313" s="55">
        <f>Tabell2[[#This Row],[Eldreandel-I]]*Vekter!$G$3</f>
        <v>1.2739845477589165</v>
      </c>
      <c r="AI313" s="55">
        <f>Tabell2[[#This Row],[Sysselsettingsvekst10-I]]*Vekter!$H$3</f>
        <v>3.6344328292433397</v>
      </c>
      <c r="AJ313" s="55">
        <f>Tabell2[[#This Row],[Yrkesaktivandel-I]]*Vekter!$J$3</f>
        <v>9.1513773929649425</v>
      </c>
      <c r="AK313" s="55">
        <f>Tabell2[[#This Row],[Inntekt-I]]*Vekter!$L$3</f>
        <v>3.4200139308103092</v>
      </c>
      <c r="AL313" s="56">
        <f>SUM(Tabell2[[#This Row],[NIBR11-v]:[Inntekt-v]])</f>
        <v>34.279658716133753</v>
      </c>
    </row>
    <row r="314" spans="1:38" x14ac:dyDescent="0.25">
      <c r="A314" s="2" t="s">
        <v>311</v>
      </c>
      <c r="B314">
        <f>'Rådata-K'!M313</f>
        <v>9</v>
      </c>
      <c r="C314" s="7">
        <f>'Rådata-K'!L313</f>
        <v>180.28333333329999</v>
      </c>
      <c r="D314" s="34">
        <f>'Rådata-K'!N313</f>
        <v>1.6651508887970237</v>
      </c>
      <c r="E314" s="34">
        <f>'Rådata-K'!O313</f>
        <v>-5.5347091932457793E-2</v>
      </c>
      <c r="F314" s="34">
        <f>'Rådata-K'!P313</f>
        <v>9.8808341608738831E-2</v>
      </c>
      <c r="G314" s="34">
        <f>'Rådata-K'!Q313</f>
        <v>0.22542204568023833</v>
      </c>
      <c r="H314" s="34">
        <f>'Rådata-K'!R313</f>
        <v>-0.14951989026063095</v>
      </c>
      <c r="I314" s="34">
        <f>'Rådata-K'!S313</f>
        <v>0.92975970425138632</v>
      </c>
      <c r="J314" s="22">
        <f>'Rådata-K'!K313</f>
        <v>345100</v>
      </c>
      <c r="K314" s="22">
        <f>Tabell2[[#This Row],[NIBR11]]</f>
        <v>9</v>
      </c>
      <c r="L314" s="32">
        <f>IF(Tabell2[[#This Row],[ReisetidOslo]]&lt;=C$434,C$434,IF(Tabell2[[#This Row],[ReisetidOslo]]&gt;=C$435,C$435,Tabell2[[#This Row],[ReisetidOslo]]))</f>
        <v>180.28333333329999</v>
      </c>
      <c r="M314" s="32">
        <f>IF(Tabell2[[#This Row],[Beftettotal]]&lt;=D$434,D$434,IF(Tabell2[[#This Row],[Beftettotal]]&gt;=D$435,D$435,Tabell2[[#This Row],[Beftettotal]]))</f>
        <v>1.6651508887970237</v>
      </c>
      <c r="N314" s="34">
        <f>IF(Tabell2[[#This Row],[Befvekst10]]&lt;=E$434,E$434,IF(Tabell2[[#This Row],[Befvekst10]]&gt;=E$435,E$435,Tabell2[[#This Row],[Befvekst10]]))</f>
        <v>-5.5347091932457793E-2</v>
      </c>
      <c r="O314" s="34">
        <f>IF(Tabell2[[#This Row],[Kvinneandel]]&lt;=F$434,F$434,IF(Tabell2[[#This Row],[Kvinneandel]]&gt;=F$435,F$435,Tabell2[[#This Row],[Kvinneandel]]))</f>
        <v>9.8808341608738831E-2</v>
      </c>
      <c r="P314" s="34">
        <f>IF(Tabell2[[#This Row],[Eldreandel]]&lt;=G$434,G$434,IF(Tabell2[[#This Row],[Eldreandel]]&gt;=G$435,G$435,Tabell2[[#This Row],[Eldreandel]]))</f>
        <v>0.21438492803547596</v>
      </c>
      <c r="Q314" s="34">
        <f>IF(Tabell2[[#This Row],[Sysselsettingsvekst10]]&lt;=H$434,H$434,IF(Tabell2[[#This Row],[Sysselsettingsvekst10]]&gt;=H$435,H$435,Tabell2[[#This Row],[Sysselsettingsvekst10]]))</f>
        <v>-6.9733479337269061E-2</v>
      </c>
      <c r="R314" s="34">
        <f>IF(Tabell2[[#This Row],[Yrkesaktivandel]]&lt;=I$434,I$434,IF(Tabell2[[#This Row],[Yrkesaktivandel]]&gt;=I$435,I$435,Tabell2[[#This Row],[Yrkesaktivandel]]))</f>
        <v>0.92975970425138632</v>
      </c>
      <c r="S314" s="22">
        <f>IF(Tabell2[[#This Row],[Inntekt]]&lt;=J$434,J$434,IF(Tabell2[[#This Row],[Inntekt]]&gt;=J$435,J$435,Tabell2[[#This Row],[Inntekt]]))</f>
        <v>345100</v>
      </c>
      <c r="T314" s="22">
        <f>IF(Tabell2[[#This Row],[NIBR11-T]]&lt;=K$437,100,IF(Tabell2[[#This Row],[NIBR11-T]]&gt;=K$436,0,100*(K$436-Tabell2[[#This Row],[NIBR11-T]])/K$439))</f>
        <v>20</v>
      </c>
      <c r="U314" s="7">
        <f>IF(Tabell2[[#This Row],[ReisetidOslo-T]]&lt;=L$437,100,IF(Tabell2[[#This Row],[ReisetidOslo-T]]&gt;=L$436,0,100*(L$436-Tabell2[[#This Row],[ReisetidOslo-T]])/L$439))</f>
        <v>43.95173674590702</v>
      </c>
      <c r="V314" s="7">
        <f>100-(M$436-Tabell2[[#This Row],[Beftettotal-T]])*100/M$439</f>
        <v>0.25943921249347568</v>
      </c>
      <c r="W314" s="7">
        <f>100-(N$436-Tabell2[[#This Row],[Befvekst10-T]])*100/N$439</f>
        <v>8.3945954736902593</v>
      </c>
      <c r="X314" s="7">
        <f>100-(O$436-Tabell2[[#This Row],[Kvinneandel-T]])*100/O$439</f>
        <v>21.980542624003633</v>
      </c>
      <c r="Y314" s="7">
        <f>(P$436-Tabell2[[#This Row],[Eldreandel-T]])*100/P$439</f>
        <v>0</v>
      </c>
      <c r="Z314" s="7">
        <f>100-(Q$436-Tabell2[[#This Row],[Sysselsettingsvekst10-T]])*100/Q$439</f>
        <v>0</v>
      </c>
      <c r="AA314" s="7">
        <f>100-(R$436-Tabell2[[#This Row],[Yrkesaktivandel-T]])*100/R$439</f>
        <v>75.18544595024315</v>
      </c>
      <c r="AB314" s="7">
        <f>100-(S$436-Tabell2[[#This Row],[Inntekt-T]])*100/S$439</f>
        <v>15.625725563036923</v>
      </c>
      <c r="AC314" s="55">
        <f>Tabell2[[#This Row],[NIBR11-I]]*Vekter!$B$3</f>
        <v>4</v>
      </c>
      <c r="AD314" s="55">
        <f>Tabell2[[#This Row],[ReisetidOslo-I]]*Vekter!$C$3</f>
        <v>4.3951736745907022</v>
      </c>
      <c r="AE314" s="55">
        <f>Tabell2[[#This Row],[Beftettotal-I]]*Vekter!$D$3</f>
        <v>2.5943921249347569E-2</v>
      </c>
      <c r="AF314" s="55">
        <f>Tabell2[[#This Row],[Befvekst10-I]]*Vekter!$E$3</f>
        <v>1.6789190947380519</v>
      </c>
      <c r="AG314" s="55">
        <f>Tabell2[[#This Row],[Kvinneandel-I]]*Vekter!$F$3</f>
        <v>1.0990271312001816</v>
      </c>
      <c r="AH314" s="55">
        <f>Tabell2[[#This Row],[Eldreandel-I]]*Vekter!$G$3</f>
        <v>0</v>
      </c>
      <c r="AI314" s="55">
        <f>Tabell2[[#This Row],[Sysselsettingsvekst10-I]]*Vekter!$H$3</f>
        <v>0</v>
      </c>
      <c r="AJ314" s="55">
        <f>Tabell2[[#This Row],[Yrkesaktivandel-I]]*Vekter!$J$3</f>
        <v>7.5185445950243155</v>
      </c>
      <c r="AK314" s="55">
        <f>Tabell2[[#This Row],[Inntekt-I]]*Vekter!$L$3</f>
        <v>1.5625725563036923</v>
      </c>
      <c r="AL314" s="56">
        <f>SUM(Tabell2[[#This Row],[NIBR11-v]:[Inntekt-v]])</f>
        <v>20.28018097310629</v>
      </c>
    </row>
    <row r="315" spans="1:38" x14ac:dyDescent="0.25">
      <c r="A315" s="2" t="s">
        <v>312</v>
      </c>
      <c r="B315">
        <f>'Rådata-K'!M314</f>
        <v>2</v>
      </c>
      <c r="C315" s="7">
        <f>'Rådata-K'!L314</f>
        <v>217.51666666669999</v>
      </c>
      <c r="D315" s="34">
        <f>'Rådata-K'!N314</f>
        <v>3.4055178418820646</v>
      </c>
      <c r="E315" s="34">
        <f>'Rådata-K'!O314</f>
        <v>9.2979127134724893E-2</v>
      </c>
      <c r="F315" s="34">
        <f>'Rådata-K'!P314</f>
        <v>0.12389520202020202</v>
      </c>
      <c r="G315" s="34">
        <f>'Rådata-K'!Q314</f>
        <v>0.16429924242424243</v>
      </c>
      <c r="H315" s="34">
        <f>'Rådata-K'!R314</f>
        <v>0.15779748706577967</v>
      </c>
      <c r="I315" s="34">
        <f>'Rådata-K'!S314</f>
        <v>0.93734610123119011</v>
      </c>
      <c r="J315" s="22">
        <f>'Rådata-K'!K314</f>
        <v>349900</v>
      </c>
      <c r="K315" s="22">
        <f>Tabell2[[#This Row],[NIBR11]]</f>
        <v>2</v>
      </c>
      <c r="L315" s="32">
        <f>IF(Tabell2[[#This Row],[ReisetidOslo]]&lt;=C$434,C$434,IF(Tabell2[[#This Row],[ReisetidOslo]]&gt;=C$435,C$435,Tabell2[[#This Row],[ReisetidOslo]]))</f>
        <v>217.51666666669999</v>
      </c>
      <c r="M315" s="32">
        <f>IF(Tabell2[[#This Row],[Beftettotal]]&lt;=D$434,D$434,IF(Tabell2[[#This Row],[Beftettotal]]&gt;=D$435,D$435,Tabell2[[#This Row],[Beftettotal]]))</f>
        <v>3.4055178418820646</v>
      </c>
      <c r="N315" s="34">
        <f>IF(Tabell2[[#This Row],[Befvekst10]]&lt;=E$434,E$434,IF(Tabell2[[#This Row],[Befvekst10]]&gt;=E$435,E$435,Tabell2[[#This Row],[Befvekst10]]))</f>
        <v>9.2979127134724893E-2</v>
      </c>
      <c r="O315" s="34">
        <f>IF(Tabell2[[#This Row],[Kvinneandel]]&lt;=F$434,F$434,IF(Tabell2[[#This Row],[Kvinneandel]]&gt;=F$435,F$435,Tabell2[[#This Row],[Kvinneandel]]))</f>
        <v>0.12389520202020202</v>
      </c>
      <c r="P315" s="34">
        <f>IF(Tabell2[[#This Row],[Eldreandel]]&lt;=G$434,G$434,IF(Tabell2[[#This Row],[Eldreandel]]&gt;=G$435,G$435,Tabell2[[#This Row],[Eldreandel]]))</f>
        <v>0.16429924242424243</v>
      </c>
      <c r="Q315" s="34">
        <f>IF(Tabell2[[#This Row],[Sysselsettingsvekst10]]&lt;=H$434,H$434,IF(Tabell2[[#This Row],[Sysselsettingsvekst10]]&gt;=H$435,H$435,Tabell2[[#This Row],[Sysselsettingsvekst10]]))</f>
        <v>0.15779748706577967</v>
      </c>
      <c r="R315" s="34">
        <f>IF(Tabell2[[#This Row],[Yrkesaktivandel]]&lt;=I$434,I$434,IF(Tabell2[[#This Row],[Yrkesaktivandel]]&gt;=I$435,I$435,Tabell2[[#This Row],[Yrkesaktivandel]]))</f>
        <v>0.93734610123119011</v>
      </c>
      <c r="S315" s="22">
        <f>IF(Tabell2[[#This Row],[Inntekt]]&lt;=J$434,J$434,IF(Tabell2[[#This Row],[Inntekt]]&gt;=J$435,J$435,Tabell2[[#This Row],[Inntekt]]))</f>
        <v>349900</v>
      </c>
      <c r="T315" s="22">
        <f>IF(Tabell2[[#This Row],[NIBR11-T]]&lt;=K$437,100,IF(Tabell2[[#This Row],[NIBR11-T]]&gt;=K$436,0,100*(K$436-Tabell2[[#This Row],[NIBR11-T]])/K$439))</f>
        <v>90</v>
      </c>
      <c r="U315" s="7">
        <f>IF(Tabell2[[#This Row],[ReisetidOslo-T]]&lt;=L$437,100,IF(Tabell2[[#This Row],[ReisetidOslo-T]]&gt;=L$436,0,100*(L$436-Tabell2[[#This Row],[ReisetidOslo-T]])/L$439))</f>
        <v>27.615356489937948</v>
      </c>
      <c r="V315" s="7">
        <f>100-(M$436-Tabell2[[#This Row],[Beftettotal-T]])*100/M$439</f>
        <v>1.6057362332645511</v>
      </c>
      <c r="W315" s="7">
        <f>100-(N$436-Tabell2[[#This Row],[Befvekst10-T]])*100/N$439</f>
        <v>68.116153217932265</v>
      </c>
      <c r="X315" s="7">
        <f>100-(O$436-Tabell2[[#This Row],[Kvinneandel-T]])*100/O$439</f>
        <v>88.272106384336283</v>
      </c>
      <c r="Y315" s="7">
        <f>(P$436-Tabell2[[#This Row],[Eldreandel-T]])*100/P$439</f>
        <v>54.881487093395151</v>
      </c>
      <c r="Z315" s="7">
        <f>100-(Q$436-Tabell2[[#This Row],[Sysselsettingsvekst10-T]])*100/Q$439</f>
        <v>67.69976958481476</v>
      </c>
      <c r="AA315" s="7">
        <f>100-(R$436-Tabell2[[#This Row],[Yrkesaktivandel-T]])*100/R$439</f>
        <v>81.018563990538695</v>
      </c>
      <c r="AB315" s="7">
        <f>100-(S$436-Tabell2[[#This Row],[Inntekt-T]])*100/S$439</f>
        <v>21.198049686556772</v>
      </c>
      <c r="AC315" s="55">
        <f>Tabell2[[#This Row],[NIBR11-I]]*Vekter!$B$3</f>
        <v>18</v>
      </c>
      <c r="AD315" s="55">
        <f>Tabell2[[#This Row],[ReisetidOslo-I]]*Vekter!$C$3</f>
        <v>2.761535648993795</v>
      </c>
      <c r="AE315" s="55">
        <f>Tabell2[[#This Row],[Beftettotal-I]]*Vekter!$D$3</f>
        <v>0.16057362332645511</v>
      </c>
      <c r="AF315" s="55">
        <f>Tabell2[[#This Row],[Befvekst10-I]]*Vekter!$E$3</f>
        <v>13.623230643586453</v>
      </c>
      <c r="AG315" s="55">
        <f>Tabell2[[#This Row],[Kvinneandel-I]]*Vekter!$F$3</f>
        <v>4.4136053192168143</v>
      </c>
      <c r="AH315" s="55">
        <f>Tabell2[[#This Row],[Eldreandel-I]]*Vekter!$G$3</f>
        <v>2.7440743546697579</v>
      </c>
      <c r="AI315" s="55">
        <f>Tabell2[[#This Row],[Sysselsettingsvekst10-I]]*Vekter!$H$3</f>
        <v>6.7699769584814762</v>
      </c>
      <c r="AJ315" s="55">
        <f>Tabell2[[#This Row],[Yrkesaktivandel-I]]*Vekter!$J$3</f>
        <v>8.1018563990538706</v>
      </c>
      <c r="AK315" s="55">
        <f>Tabell2[[#This Row],[Inntekt-I]]*Vekter!$L$3</f>
        <v>2.1198049686556772</v>
      </c>
      <c r="AL315" s="56">
        <f>SUM(Tabell2[[#This Row],[NIBR11-v]:[Inntekt-v]])</f>
        <v>58.694657915984308</v>
      </c>
    </row>
    <row r="316" spans="1:38" x14ac:dyDescent="0.25">
      <c r="A316" s="2" t="s">
        <v>313</v>
      </c>
      <c r="B316">
        <f>'Rådata-K'!M315</f>
        <v>2</v>
      </c>
      <c r="C316" s="7">
        <f>'Rådata-K'!L315</f>
        <v>192.0666666667</v>
      </c>
      <c r="D316" s="34">
        <f>'Rådata-K'!N315</f>
        <v>22.9393367251344</v>
      </c>
      <c r="E316" s="34">
        <f>'Rådata-K'!O315</f>
        <v>0.13872791013808405</v>
      </c>
      <c r="F316" s="34">
        <f>'Rådata-K'!P315</f>
        <v>0.12295802965569239</v>
      </c>
      <c r="G316" s="34">
        <f>'Rådata-K'!Q315</f>
        <v>0.13621512942950489</v>
      </c>
      <c r="H316" s="34">
        <f>'Rådata-K'!R315</f>
        <v>0.15589080459770122</v>
      </c>
      <c r="I316" s="34">
        <f>'Rådata-K'!S315</f>
        <v>0.90128989943156979</v>
      </c>
      <c r="J316" s="22">
        <f>'Rådata-K'!K315</f>
        <v>379000</v>
      </c>
      <c r="K316" s="22">
        <f>Tabell2[[#This Row],[NIBR11]]</f>
        <v>2</v>
      </c>
      <c r="L316" s="32">
        <f>IF(Tabell2[[#This Row],[ReisetidOslo]]&lt;=C$434,C$434,IF(Tabell2[[#This Row],[ReisetidOslo]]&gt;=C$435,C$435,Tabell2[[#This Row],[ReisetidOslo]]))</f>
        <v>192.0666666667</v>
      </c>
      <c r="M316" s="32">
        <f>IF(Tabell2[[#This Row],[Beftettotal]]&lt;=D$434,D$434,IF(Tabell2[[#This Row],[Beftettotal]]&gt;=D$435,D$435,Tabell2[[#This Row],[Beftettotal]]))</f>
        <v>22.9393367251344</v>
      </c>
      <c r="N316" s="34">
        <f>IF(Tabell2[[#This Row],[Befvekst10]]&lt;=E$434,E$434,IF(Tabell2[[#This Row],[Befvekst10]]&gt;=E$435,E$435,Tabell2[[#This Row],[Befvekst10]]))</f>
        <v>0.13872791013808405</v>
      </c>
      <c r="O316" s="34">
        <f>IF(Tabell2[[#This Row],[Kvinneandel]]&lt;=F$434,F$434,IF(Tabell2[[#This Row],[Kvinneandel]]&gt;=F$435,F$435,Tabell2[[#This Row],[Kvinneandel]]))</f>
        <v>0.12295802965569239</v>
      </c>
      <c r="P316" s="34">
        <f>IF(Tabell2[[#This Row],[Eldreandel]]&lt;=G$434,G$434,IF(Tabell2[[#This Row],[Eldreandel]]&gt;=G$435,G$435,Tabell2[[#This Row],[Eldreandel]]))</f>
        <v>0.13621512942950489</v>
      </c>
      <c r="Q316" s="34">
        <f>IF(Tabell2[[#This Row],[Sysselsettingsvekst10]]&lt;=H$434,H$434,IF(Tabell2[[#This Row],[Sysselsettingsvekst10]]&gt;=H$435,H$435,Tabell2[[#This Row],[Sysselsettingsvekst10]]))</f>
        <v>0.15589080459770122</v>
      </c>
      <c r="R316" s="34">
        <f>IF(Tabell2[[#This Row],[Yrkesaktivandel]]&lt;=I$434,I$434,IF(Tabell2[[#This Row],[Yrkesaktivandel]]&gt;=I$435,I$435,Tabell2[[#This Row],[Yrkesaktivandel]]))</f>
        <v>0.90128989943156979</v>
      </c>
      <c r="S316" s="22">
        <f>IF(Tabell2[[#This Row],[Inntekt]]&lt;=J$434,J$434,IF(Tabell2[[#This Row],[Inntekt]]&gt;=J$435,J$435,Tabell2[[#This Row],[Inntekt]]))</f>
        <v>379000</v>
      </c>
      <c r="T316" s="22">
        <f>IF(Tabell2[[#This Row],[NIBR11-T]]&lt;=K$437,100,IF(Tabell2[[#This Row],[NIBR11-T]]&gt;=K$436,0,100*(K$436-Tabell2[[#This Row],[NIBR11-T]])/K$439))</f>
        <v>90</v>
      </c>
      <c r="U316" s="7">
        <f>IF(Tabell2[[#This Row],[ReisetidOslo-T]]&lt;=L$437,100,IF(Tabell2[[#This Row],[ReisetidOslo-T]]&gt;=L$436,0,100*(L$436-Tabell2[[#This Row],[ReisetidOslo-T]])/L$439))</f>
        <v>38.781718464342653</v>
      </c>
      <c r="V316" s="7">
        <f>100-(M$436-Tabell2[[#This Row],[Beftettotal-T]])*100/M$439</f>
        <v>16.716527736279019</v>
      </c>
      <c r="W316" s="7">
        <f>100-(N$436-Tabell2[[#This Row],[Befvekst10-T]])*100/N$439</f>
        <v>86.536285565716298</v>
      </c>
      <c r="X316" s="7">
        <f>100-(O$436-Tabell2[[#This Row],[Kvinneandel-T]])*100/O$439</f>
        <v>85.795645777574833</v>
      </c>
      <c r="Y316" s="7">
        <f>(P$436-Tabell2[[#This Row],[Eldreandel-T]])*100/P$439</f>
        <v>85.654708344946656</v>
      </c>
      <c r="Z316" s="7">
        <f>100-(Q$436-Tabell2[[#This Row],[Sysselsettingsvekst10-T]])*100/Q$439</f>
        <v>67.13245355833746</v>
      </c>
      <c r="AA316" s="7">
        <f>100-(R$436-Tabell2[[#This Row],[Yrkesaktivandel-T]])*100/R$439</f>
        <v>53.295247936579479</v>
      </c>
      <c r="AB316" s="7">
        <f>100-(S$436-Tabell2[[#This Row],[Inntekt-T]])*100/S$439</f>
        <v>54.980264685395866</v>
      </c>
      <c r="AC316" s="55">
        <f>Tabell2[[#This Row],[NIBR11-I]]*Vekter!$B$3</f>
        <v>18</v>
      </c>
      <c r="AD316" s="55">
        <f>Tabell2[[#This Row],[ReisetidOslo-I]]*Vekter!$C$3</f>
        <v>3.8781718464342654</v>
      </c>
      <c r="AE316" s="55">
        <f>Tabell2[[#This Row],[Beftettotal-I]]*Vekter!$D$3</f>
        <v>1.6716527736279021</v>
      </c>
      <c r="AF316" s="55">
        <f>Tabell2[[#This Row],[Befvekst10-I]]*Vekter!$E$3</f>
        <v>17.307257113143262</v>
      </c>
      <c r="AG316" s="55">
        <f>Tabell2[[#This Row],[Kvinneandel-I]]*Vekter!$F$3</f>
        <v>4.289782288878742</v>
      </c>
      <c r="AH316" s="55">
        <f>Tabell2[[#This Row],[Eldreandel-I]]*Vekter!$G$3</f>
        <v>4.2827354172473333</v>
      </c>
      <c r="AI316" s="55">
        <f>Tabell2[[#This Row],[Sysselsettingsvekst10-I]]*Vekter!$H$3</f>
        <v>6.7132453558337462</v>
      </c>
      <c r="AJ316" s="55">
        <f>Tabell2[[#This Row],[Yrkesaktivandel-I]]*Vekter!$J$3</f>
        <v>5.3295247936579484</v>
      </c>
      <c r="AK316" s="55">
        <f>Tabell2[[#This Row],[Inntekt-I]]*Vekter!$L$3</f>
        <v>5.498026468539587</v>
      </c>
      <c r="AL316" s="56">
        <f>SUM(Tabell2[[#This Row],[NIBR11-v]:[Inntekt-v]])</f>
        <v>66.970396057362791</v>
      </c>
    </row>
    <row r="317" spans="1:38" x14ac:dyDescent="0.25">
      <c r="A317" s="2" t="s">
        <v>314</v>
      </c>
      <c r="B317">
        <f>'Rådata-K'!M316</f>
        <v>2</v>
      </c>
      <c r="C317" s="7">
        <f>'Rådata-K'!L316</f>
        <v>198.75</v>
      </c>
      <c r="D317" s="34">
        <f>'Rådata-K'!N316</f>
        <v>34.200080281878591</v>
      </c>
      <c r="E317" s="34">
        <f>'Rådata-K'!O316</f>
        <v>0.26472043542800594</v>
      </c>
      <c r="F317" s="34">
        <f>'Rådata-K'!P316</f>
        <v>0.12832550860719874</v>
      </c>
      <c r="G317" s="34">
        <f>'Rådata-K'!Q316</f>
        <v>0.12037037037037036</v>
      </c>
      <c r="H317" s="34">
        <f>'Rådata-K'!R316</f>
        <v>0.24875621890547261</v>
      </c>
      <c r="I317" s="34">
        <f>'Rådata-K'!S316</f>
        <v>0.89808917197452232</v>
      </c>
      <c r="J317" s="22">
        <f>'Rådata-K'!K316</f>
        <v>385900</v>
      </c>
      <c r="K317" s="22">
        <f>Tabell2[[#This Row],[NIBR11]]</f>
        <v>2</v>
      </c>
      <c r="L317" s="32">
        <f>IF(Tabell2[[#This Row],[ReisetidOslo]]&lt;=C$434,C$434,IF(Tabell2[[#This Row],[ReisetidOslo]]&gt;=C$435,C$435,Tabell2[[#This Row],[ReisetidOslo]]))</f>
        <v>198.75</v>
      </c>
      <c r="M317" s="32">
        <f>IF(Tabell2[[#This Row],[Beftettotal]]&lt;=D$434,D$434,IF(Tabell2[[#This Row],[Beftettotal]]&gt;=D$435,D$435,Tabell2[[#This Row],[Beftettotal]]))</f>
        <v>34.200080281878591</v>
      </c>
      <c r="N317" s="34">
        <f>IF(Tabell2[[#This Row],[Befvekst10]]&lt;=E$434,E$434,IF(Tabell2[[#This Row],[Befvekst10]]&gt;=E$435,E$435,Tabell2[[#This Row],[Befvekst10]]))</f>
        <v>0.17216678769030419</v>
      </c>
      <c r="O317" s="34">
        <f>IF(Tabell2[[#This Row],[Kvinneandel]]&lt;=F$434,F$434,IF(Tabell2[[#This Row],[Kvinneandel]]&gt;=F$435,F$435,Tabell2[[#This Row],[Kvinneandel]]))</f>
        <v>0.12832550860719874</v>
      </c>
      <c r="P317" s="34">
        <f>IF(Tabell2[[#This Row],[Eldreandel]]&lt;=G$434,G$434,IF(Tabell2[[#This Row],[Eldreandel]]&gt;=G$435,G$435,Tabell2[[#This Row],[Eldreandel]]))</f>
        <v>0.12312339657223466</v>
      </c>
      <c r="Q317" s="34">
        <f>IF(Tabell2[[#This Row],[Sysselsettingsvekst10]]&lt;=H$434,H$434,IF(Tabell2[[#This Row],[Sysselsettingsvekst10]]&gt;=H$435,H$435,Tabell2[[#This Row],[Sysselsettingsvekst10]]))</f>
        <v>0.24875621890547261</v>
      </c>
      <c r="R317" s="34">
        <f>IF(Tabell2[[#This Row],[Yrkesaktivandel]]&lt;=I$434,I$434,IF(Tabell2[[#This Row],[Yrkesaktivandel]]&gt;=I$435,I$435,Tabell2[[#This Row],[Yrkesaktivandel]]))</f>
        <v>0.89808917197452232</v>
      </c>
      <c r="S317" s="22">
        <f>IF(Tabell2[[#This Row],[Inntekt]]&lt;=J$434,J$434,IF(Tabell2[[#This Row],[Inntekt]]&gt;=J$435,J$435,Tabell2[[#This Row],[Inntekt]]))</f>
        <v>385900</v>
      </c>
      <c r="T317" s="22">
        <f>IF(Tabell2[[#This Row],[NIBR11-T]]&lt;=K$437,100,IF(Tabell2[[#This Row],[NIBR11-T]]&gt;=K$436,0,100*(K$436-Tabell2[[#This Row],[NIBR11-T]])/K$439))</f>
        <v>90</v>
      </c>
      <c r="U317" s="7">
        <f>IF(Tabell2[[#This Row],[ReisetidOslo-T]]&lt;=L$437,100,IF(Tabell2[[#This Row],[ReisetidOslo-T]]&gt;=L$436,0,100*(L$436-Tabell2[[#This Row],[ReisetidOslo-T]])/L$439))</f>
        <v>35.84936014625886</v>
      </c>
      <c r="V317" s="7">
        <f>100-(M$436-Tabell2[[#This Row],[Beftettotal-T]])*100/M$439</f>
        <v>25.427509908882428</v>
      </c>
      <c r="W317" s="7">
        <f>100-(N$436-Tabell2[[#This Row],[Befvekst10-T]])*100/N$439</f>
        <v>100</v>
      </c>
      <c r="X317" s="7">
        <f>100-(O$436-Tabell2[[#This Row],[Kvinneandel-T]])*100/O$439</f>
        <v>99.979109443814991</v>
      </c>
      <c r="Y317" s="7">
        <f>(P$436-Tabell2[[#This Row],[Eldreandel-T]])*100/P$439</f>
        <v>100</v>
      </c>
      <c r="Z317" s="7">
        <f>100-(Q$436-Tabell2[[#This Row],[Sysselsettingsvekst10-T]])*100/Q$439</f>
        <v>94.763712944357636</v>
      </c>
      <c r="AA317" s="7">
        <f>100-(R$436-Tabell2[[#This Row],[Yrkesaktivandel-T]])*100/R$439</f>
        <v>50.834235004949875</v>
      </c>
      <c r="AB317" s="7">
        <f>100-(S$436-Tabell2[[#This Row],[Inntekt-T]])*100/S$439</f>
        <v>62.99048061295565</v>
      </c>
      <c r="AC317" s="55">
        <f>Tabell2[[#This Row],[NIBR11-I]]*Vekter!$B$3</f>
        <v>18</v>
      </c>
      <c r="AD317" s="55">
        <f>Tabell2[[#This Row],[ReisetidOslo-I]]*Vekter!$C$3</f>
        <v>3.5849360146258862</v>
      </c>
      <c r="AE317" s="55">
        <f>Tabell2[[#This Row],[Beftettotal-I]]*Vekter!$D$3</f>
        <v>2.5427509908882429</v>
      </c>
      <c r="AF317" s="55">
        <f>Tabell2[[#This Row],[Befvekst10-I]]*Vekter!$E$3</f>
        <v>20</v>
      </c>
      <c r="AG317" s="55">
        <f>Tabell2[[#This Row],[Kvinneandel-I]]*Vekter!$F$3</f>
        <v>4.9989554721907501</v>
      </c>
      <c r="AH317" s="55">
        <f>Tabell2[[#This Row],[Eldreandel-I]]*Vekter!$G$3</f>
        <v>5</v>
      </c>
      <c r="AI317" s="55">
        <f>Tabell2[[#This Row],[Sysselsettingsvekst10-I]]*Vekter!$H$3</f>
        <v>9.4763712944357632</v>
      </c>
      <c r="AJ317" s="55">
        <f>Tabell2[[#This Row],[Yrkesaktivandel-I]]*Vekter!$J$3</f>
        <v>5.0834235004949875</v>
      </c>
      <c r="AK317" s="55">
        <f>Tabell2[[#This Row],[Inntekt-I]]*Vekter!$L$3</f>
        <v>6.299048061295565</v>
      </c>
      <c r="AL317" s="56">
        <f>SUM(Tabell2[[#This Row],[NIBR11-v]:[Inntekt-v]])</f>
        <v>74.985485333931194</v>
      </c>
    </row>
    <row r="318" spans="1:38" x14ac:dyDescent="0.25">
      <c r="A318" s="2" t="s">
        <v>315</v>
      </c>
      <c r="B318">
        <f>'Rådata-K'!M317</f>
        <v>2</v>
      </c>
      <c r="C318" s="7">
        <f>'Rådata-K'!L317</f>
        <v>187.5</v>
      </c>
      <c r="D318" s="34">
        <f>'Rådata-K'!N317</f>
        <v>32.168920369177933</v>
      </c>
      <c r="E318" s="34">
        <f>'Rådata-K'!O317</f>
        <v>0.13563174843720405</v>
      </c>
      <c r="F318" s="34">
        <f>'Rådata-K'!P317</f>
        <v>0.12360300250208507</v>
      </c>
      <c r="G318" s="34">
        <f>'Rådata-K'!Q317</f>
        <v>0.10625521267723102</v>
      </c>
      <c r="H318" s="34">
        <f>'Rådata-K'!R317</f>
        <v>0.10455764075067031</v>
      </c>
      <c r="I318" s="34">
        <f>'Rådata-K'!S317</f>
        <v>0.90811282349520206</v>
      </c>
      <c r="J318" s="22">
        <f>'Rådata-K'!K317</f>
        <v>391800</v>
      </c>
      <c r="K318" s="22">
        <f>Tabell2[[#This Row],[NIBR11]]</f>
        <v>2</v>
      </c>
      <c r="L318" s="32">
        <f>IF(Tabell2[[#This Row],[ReisetidOslo]]&lt;=C$434,C$434,IF(Tabell2[[#This Row],[ReisetidOslo]]&gt;=C$435,C$435,Tabell2[[#This Row],[ReisetidOslo]]))</f>
        <v>187.5</v>
      </c>
      <c r="M318" s="32">
        <f>IF(Tabell2[[#This Row],[Beftettotal]]&lt;=D$434,D$434,IF(Tabell2[[#This Row],[Beftettotal]]&gt;=D$435,D$435,Tabell2[[#This Row],[Beftettotal]]))</f>
        <v>32.168920369177933</v>
      </c>
      <c r="N318" s="34">
        <f>IF(Tabell2[[#This Row],[Befvekst10]]&lt;=E$434,E$434,IF(Tabell2[[#This Row],[Befvekst10]]&gt;=E$435,E$435,Tabell2[[#This Row],[Befvekst10]]))</f>
        <v>0.13563174843720405</v>
      </c>
      <c r="O318" s="34">
        <f>IF(Tabell2[[#This Row],[Kvinneandel]]&lt;=F$434,F$434,IF(Tabell2[[#This Row],[Kvinneandel]]&gt;=F$435,F$435,Tabell2[[#This Row],[Kvinneandel]]))</f>
        <v>0.12360300250208507</v>
      </c>
      <c r="P318" s="34">
        <f>IF(Tabell2[[#This Row],[Eldreandel]]&lt;=G$434,G$434,IF(Tabell2[[#This Row],[Eldreandel]]&gt;=G$435,G$435,Tabell2[[#This Row],[Eldreandel]]))</f>
        <v>0.12312339657223466</v>
      </c>
      <c r="Q318" s="34">
        <f>IF(Tabell2[[#This Row],[Sysselsettingsvekst10]]&lt;=H$434,H$434,IF(Tabell2[[#This Row],[Sysselsettingsvekst10]]&gt;=H$435,H$435,Tabell2[[#This Row],[Sysselsettingsvekst10]]))</f>
        <v>0.10455764075067031</v>
      </c>
      <c r="R318" s="34">
        <f>IF(Tabell2[[#This Row],[Yrkesaktivandel]]&lt;=I$434,I$434,IF(Tabell2[[#This Row],[Yrkesaktivandel]]&gt;=I$435,I$435,Tabell2[[#This Row],[Yrkesaktivandel]]))</f>
        <v>0.90811282349520206</v>
      </c>
      <c r="S318" s="22">
        <f>IF(Tabell2[[#This Row],[Inntekt]]&lt;=J$434,J$434,IF(Tabell2[[#This Row],[Inntekt]]&gt;=J$435,J$435,Tabell2[[#This Row],[Inntekt]]))</f>
        <v>391800</v>
      </c>
      <c r="T318" s="22">
        <f>IF(Tabell2[[#This Row],[NIBR11-T]]&lt;=K$437,100,IF(Tabell2[[#This Row],[NIBR11-T]]&gt;=K$436,0,100*(K$436-Tabell2[[#This Row],[NIBR11-T]])/K$439))</f>
        <v>90</v>
      </c>
      <c r="U318" s="7">
        <f>IF(Tabell2[[#This Row],[ReisetidOslo-T]]&lt;=L$437,100,IF(Tabell2[[#This Row],[ReisetidOslo-T]]&gt;=L$436,0,100*(L$436-Tabell2[[#This Row],[ReisetidOslo-T]])/L$439))</f>
        <v>40.785374771486872</v>
      </c>
      <c r="V318" s="7">
        <f>100-(M$436-Tabell2[[#This Row],[Beftettotal-T]])*100/M$439</f>
        <v>23.856263951625422</v>
      </c>
      <c r="W318" s="7">
        <f>100-(N$436-Tabell2[[#This Row],[Befvekst10-T]])*100/N$439</f>
        <v>85.289657687196296</v>
      </c>
      <c r="X318" s="7">
        <f>100-(O$436-Tabell2[[#This Row],[Kvinneandel-T]])*100/O$439</f>
        <v>87.499974572372395</v>
      </c>
      <c r="Y318" s="7">
        <f>(P$436-Tabell2[[#This Row],[Eldreandel-T]])*100/P$439</f>
        <v>100</v>
      </c>
      <c r="Z318" s="7">
        <f>100-(Q$436-Tabell2[[#This Row],[Sysselsettingsvekst10-T]])*100/Q$439</f>
        <v>51.858737547535291</v>
      </c>
      <c r="AA318" s="7">
        <f>100-(R$436-Tabell2[[#This Row],[Yrkesaktivandel-T]])*100/R$439</f>
        <v>58.541337951258534</v>
      </c>
      <c r="AB318" s="7">
        <f>100-(S$436-Tabell2[[#This Row],[Inntekt-T]])*100/S$439</f>
        <v>69.839795681448805</v>
      </c>
      <c r="AC318" s="55">
        <f>Tabell2[[#This Row],[NIBR11-I]]*Vekter!$B$3</f>
        <v>18</v>
      </c>
      <c r="AD318" s="55">
        <f>Tabell2[[#This Row],[ReisetidOslo-I]]*Vekter!$C$3</f>
        <v>4.0785374771486875</v>
      </c>
      <c r="AE318" s="55">
        <f>Tabell2[[#This Row],[Beftettotal-I]]*Vekter!$D$3</f>
        <v>2.3856263951625425</v>
      </c>
      <c r="AF318" s="55">
        <f>Tabell2[[#This Row],[Befvekst10-I]]*Vekter!$E$3</f>
        <v>17.057931537439259</v>
      </c>
      <c r="AG318" s="55">
        <f>Tabell2[[#This Row],[Kvinneandel-I]]*Vekter!$F$3</f>
        <v>4.3749987286186203</v>
      </c>
      <c r="AH318" s="55">
        <f>Tabell2[[#This Row],[Eldreandel-I]]*Vekter!$G$3</f>
        <v>5</v>
      </c>
      <c r="AI318" s="55">
        <f>Tabell2[[#This Row],[Sysselsettingsvekst10-I]]*Vekter!$H$3</f>
        <v>5.1858737547535299</v>
      </c>
      <c r="AJ318" s="55">
        <f>Tabell2[[#This Row],[Yrkesaktivandel-I]]*Vekter!$J$3</f>
        <v>5.8541337951258541</v>
      </c>
      <c r="AK318" s="55">
        <f>Tabell2[[#This Row],[Inntekt-I]]*Vekter!$L$3</f>
        <v>6.9839795681448811</v>
      </c>
      <c r="AL318" s="56">
        <f>SUM(Tabell2[[#This Row],[NIBR11-v]:[Inntekt-v]])</f>
        <v>68.921081256393379</v>
      </c>
    </row>
    <row r="319" spans="1:38" x14ac:dyDescent="0.25">
      <c r="A319" s="2" t="s">
        <v>316</v>
      </c>
      <c r="B319">
        <f>'Rådata-K'!M318</f>
        <v>2</v>
      </c>
      <c r="C319" s="7">
        <f>'Rådata-K'!L318</f>
        <v>162.83333333333002</v>
      </c>
      <c r="D319" s="34">
        <f>'Rådata-K'!N318</f>
        <v>80.135359772025652</v>
      </c>
      <c r="E319" s="34">
        <f>'Rådata-K'!O318</f>
        <v>0.11599834642414231</v>
      </c>
      <c r="F319" s="34">
        <f>'Rådata-K'!P318</f>
        <v>0.11823973922062528</v>
      </c>
      <c r="G319" s="34">
        <f>'Rådata-K'!Q318</f>
        <v>0.11231293524966662</v>
      </c>
      <c r="H319" s="34">
        <f>'Rådata-K'!R318</f>
        <v>0.28082981175566646</v>
      </c>
      <c r="I319" s="34">
        <f>'Rådata-K'!S318</f>
        <v>0.87164896307536677</v>
      </c>
      <c r="J319" s="22">
        <f>'Rådata-K'!K318</f>
        <v>419000</v>
      </c>
      <c r="K319" s="22">
        <f>Tabell2[[#This Row],[NIBR11]]</f>
        <v>2</v>
      </c>
      <c r="L319" s="32">
        <f>IF(Tabell2[[#This Row],[ReisetidOslo]]&lt;=C$434,C$434,IF(Tabell2[[#This Row],[ReisetidOslo]]&gt;=C$435,C$435,Tabell2[[#This Row],[ReisetidOslo]]))</f>
        <v>162.83333333333002</v>
      </c>
      <c r="M319" s="32">
        <f>IF(Tabell2[[#This Row],[Beftettotal]]&lt;=D$434,D$434,IF(Tabell2[[#This Row],[Beftettotal]]&gt;=D$435,D$435,Tabell2[[#This Row],[Beftettotal]]))</f>
        <v>80.135359772025652</v>
      </c>
      <c r="N319" s="34">
        <f>IF(Tabell2[[#This Row],[Befvekst10]]&lt;=E$434,E$434,IF(Tabell2[[#This Row],[Befvekst10]]&gt;=E$435,E$435,Tabell2[[#This Row],[Befvekst10]]))</f>
        <v>0.11599834642414231</v>
      </c>
      <c r="O319" s="34">
        <f>IF(Tabell2[[#This Row],[Kvinneandel]]&lt;=F$434,F$434,IF(Tabell2[[#This Row],[Kvinneandel]]&gt;=F$435,F$435,Tabell2[[#This Row],[Kvinneandel]]))</f>
        <v>0.11823973922062528</v>
      </c>
      <c r="P319" s="34">
        <f>IF(Tabell2[[#This Row],[Eldreandel]]&lt;=G$434,G$434,IF(Tabell2[[#This Row],[Eldreandel]]&gt;=G$435,G$435,Tabell2[[#This Row],[Eldreandel]]))</f>
        <v>0.12312339657223466</v>
      </c>
      <c r="Q319" s="34">
        <f>IF(Tabell2[[#This Row],[Sysselsettingsvekst10]]&lt;=H$434,H$434,IF(Tabell2[[#This Row],[Sysselsettingsvekst10]]&gt;=H$435,H$435,Tabell2[[#This Row],[Sysselsettingsvekst10]]))</f>
        <v>0.26635476409167841</v>
      </c>
      <c r="R319" s="34">
        <f>IF(Tabell2[[#This Row],[Yrkesaktivandel]]&lt;=I$434,I$434,IF(Tabell2[[#This Row],[Yrkesaktivandel]]&gt;=I$435,I$435,Tabell2[[#This Row],[Yrkesaktivandel]]))</f>
        <v>0.87164896307536677</v>
      </c>
      <c r="S319" s="22">
        <f>IF(Tabell2[[#This Row],[Inntekt]]&lt;=J$434,J$434,IF(Tabell2[[#This Row],[Inntekt]]&gt;=J$435,J$435,Tabell2[[#This Row],[Inntekt]]))</f>
        <v>417780</v>
      </c>
      <c r="T319" s="22">
        <f>IF(Tabell2[[#This Row],[NIBR11-T]]&lt;=K$437,100,IF(Tabell2[[#This Row],[NIBR11-T]]&gt;=K$436,0,100*(K$436-Tabell2[[#This Row],[NIBR11-T]])/K$439))</f>
        <v>90</v>
      </c>
      <c r="U319" s="7">
        <f>IF(Tabell2[[#This Row],[ReisetidOslo-T]]&lt;=L$437,100,IF(Tabell2[[#This Row],[ReisetidOslo-T]]&gt;=L$436,0,100*(L$436-Tabell2[[#This Row],[ReisetidOslo-T]])/L$439))</f>
        <v>51.608043875691962</v>
      </c>
      <c r="V319" s="7">
        <f>100-(M$436-Tabell2[[#This Row],[Beftettotal-T]])*100/M$439</f>
        <v>60.961699877410453</v>
      </c>
      <c r="W319" s="7">
        <f>100-(N$436-Tabell2[[#This Row],[Befvekst10-T]])*100/N$439</f>
        <v>77.384532353232942</v>
      </c>
      <c r="X319" s="7">
        <f>100-(O$436-Tabell2[[#This Row],[Kvinneandel-T]])*100/O$439</f>
        <v>73.327650736110968</v>
      </c>
      <c r="Y319" s="7">
        <f>(P$436-Tabell2[[#This Row],[Eldreandel-T]])*100/P$439</f>
        <v>100</v>
      </c>
      <c r="Z319" s="7">
        <f>100-(Q$436-Tabell2[[#This Row],[Sysselsettingsvekst10-T]])*100/Q$439</f>
        <v>100</v>
      </c>
      <c r="AA319" s="7">
        <f>100-(R$436-Tabell2[[#This Row],[Yrkesaktivandel-T]])*100/R$439</f>
        <v>30.504576547920905</v>
      </c>
      <c r="AB319" s="7">
        <f>100-(S$436-Tabell2[[#This Row],[Inntekt-T]])*100/S$439</f>
        <v>100</v>
      </c>
      <c r="AC319" s="55">
        <f>Tabell2[[#This Row],[NIBR11-I]]*Vekter!$B$3</f>
        <v>18</v>
      </c>
      <c r="AD319" s="55">
        <f>Tabell2[[#This Row],[ReisetidOslo-I]]*Vekter!$C$3</f>
        <v>5.1608043875691969</v>
      </c>
      <c r="AE319" s="55">
        <f>Tabell2[[#This Row],[Beftettotal-I]]*Vekter!$D$3</f>
        <v>6.096169987741046</v>
      </c>
      <c r="AF319" s="55">
        <f>Tabell2[[#This Row],[Befvekst10-I]]*Vekter!$E$3</f>
        <v>15.47690647064659</v>
      </c>
      <c r="AG319" s="55">
        <f>Tabell2[[#This Row],[Kvinneandel-I]]*Vekter!$F$3</f>
        <v>3.6663825368055485</v>
      </c>
      <c r="AH319" s="55">
        <f>Tabell2[[#This Row],[Eldreandel-I]]*Vekter!$G$3</f>
        <v>5</v>
      </c>
      <c r="AI319" s="55">
        <f>Tabell2[[#This Row],[Sysselsettingsvekst10-I]]*Vekter!$H$3</f>
        <v>10</v>
      </c>
      <c r="AJ319" s="55">
        <f>Tabell2[[#This Row],[Yrkesaktivandel-I]]*Vekter!$J$3</f>
        <v>3.0504576547920905</v>
      </c>
      <c r="AK319" s="55">
        <f>Tabell2[[#This Row],[Inntekt-I]]*Vekter!$L$3</f>
        <v>10</v>
      </c>
      <c r="AL319" s="56">
        <f>SUM(Tabell2[[#This Row],[NIBR11-v]:[Inntekt-v]])</f>
        <v>76.450721037554473</v>
      </c>
    </row>
    <row r="320" spans="1:38" x14ac:dyDescent="0.25">
      <c r="A320" s="2" t="s">
        <v>317</v>
      </c>
      <c r="B320">
        <f>'Rådata-K'!M319</f>
        <v>2</v>
      </c>
      <c r="C320" s="7">
        <f>'Rådata-K'!L319</f>
        <v>186.35</v>
      </c>
      <c r="D320" s="34">
        <f>'Rådata-K'!N319</f>
        <v>3.3024521395484432</v>
      </c>
      <c r="E320" s="34">
        <f>'Rådata-K'!O319</f>
        <v>2.2567703109327875E-2</v>
      </c>
      <c r="F320" s="34">
        <f>'Rådata-K'!P319</f>
        <v>0.10102991662579695</v>
      </c>
      <c r="G320" s="34">
        <f>'Rådata-K'!Q319</f>
        <v>0.1878371750858264</v>
      </c>
      <c r="H320" s="34">
        <f>'Rådata-K'!R319</f>
        <v>5.637411915438828E-2</v>
      </c>
      <c r="I320" s="34">
        <f>'Rådata-K'!S319</f>
        <v>0.93259423503325944</v>
      </c>
      <c r="J320" s="22">
        <f>'Rådata-K'!K319</f>
        <v>353900</v>
      </c>
      <c r="K320" s="22">
        <f>Tabell2[[#This Row],[NIBR11]]</f>
        <v>2</v>
      </c>
      <c r="L320" s="32">
        <f>IF(Tabell2[[#This Row],[ReisetidOslo]]&lt;=C$434,C$434,IF(Tabell2[[#This Row],[ReisetidOslo]]&gt;=C$435,C$435,Tabell2[[#This Row],[ReisetidOslo]]))</f>
        <v>186.35</v>
      </c>
      <c r="M320" s="32">
        <f>IF(Tabell2[[#This Row],[Beftettotal]]&lt;=D$434,D$434,IF(Tabell2[[#This Row],[Beftettotal]]&gt;=D$435,D$435,Tabell2[[#This Row],[Beftettotal]]))</f>
        <v>3.3024521395484432</v>
      </c>
      <c r="N320" s="34">
        <f>IF(Tabell2[[#This Row],[Befvekst10]]&lt;=E$434,E$434,IF(Tabell2[[#This Row],[Befvekst10]]&gt;=E$435,E$435,Tabell2[[#This Row],[Befvekst10]]))</f>
        <v>2.2567703109327875E-2</v>
      </c>
      <c r="O320" s="34">
        <f>IF(Tabell2[[#This Row],[Kvinneandel]]&lt;=F$434,F$434,IF(Tabell2[[#This Row],[Kvinneandel]]&gt;=F$435,F$435,Tabell2[[#This Row],[Kvinneandel]]))</f>
        <v>0.10102991662579695</v>
      </c>
      <c r="P320" s="34">
        <f>IF(Tabell2[[#This Row],[Eldreandel]]&lt;=G$434,G$434,IF(Tabell2[[#This Row],[Eldreandel]]&gt;=G$435,G$435,Tabell2[[#This Row],[Eldreandel]]))</f>
        <v>0.1878371750858264</v>
      </c>
      <c r="Q320" s="34">
        <f>IF(Tabell2[[#This Row],[Sysselsettingsvekst10]]&lt;=H$434,H$434,IF(Tabell2[[#This Row],[Sysselsettingsvekst10]]&gt;=H$435,H$435,Tabell2[[#This Row],[Sysselsettingsvekst10]]))</f>
        <v>5.637411915438828E-2</v>
      </c>
      <c r="R320" s="34">
        <f>IF(Tabell2[[#This Row],[Yrkesaktivandel]]&lt;=I$434,I$434,IF(Tabell2[[#This Row],[Yrkesaktivandel]]&gt;=I$435,I$435,Tabell2[[#This Row],[Yrkesaktivandel]]))</f>
        <v>0.93259423503325944</v>
      </c>
      <c r="S320" s="22">
        <f>IF(Tabell2[[#This Row],[Inntekt]]&lt;=J$434,J$434,IF(Tabell2[[#This Row],[Inntekt]]&gt;=J$435,J$435,Tabell2[[#This Row],[Inntekt]]))</f>
        <v>353900</v>
      </c>
      <c r="T320" s="22">
        <f>IF(Tabell2[[#This Row],[NIBR11-T]]&lt;=K$437,100,IF(Tabell2[[#This Row],[NIBR11-T]]&gt;=K$436,0,100*(K$436-Tabell2[[#This Row],[NIBR11-T]])/K$439))</f>
        <v>90</v>
      </c>
      <c r="U320" s="7">
        <f>IF(Tabell2[[#This Row],[ReisetidOslo-T]]&lt;=L$437,100,IF(Tabell2[[#This Row],[ReisetidOslo-T]]&gt;=L$436,0,100*(L$436-Tabell2[[#This Row],[ReisetidOslo-T]])/L$439))</f>
        <v>41.289945155399067</v>
      </c>
      <c r="V320" s="7">
        <f>100-(M$436-Tabell2[[#This Row],[Beftettotal-T]])*100/M$439</f>
        <v>1.5260076175554076</v>
      </c>
      <c r="W320" s="7">
        <f>100-(N$436-Tabell2[[#This Row],[Befvekst10-T]])*100/N$439</f>
        <v>39.765940071311078</v>
      </c>
      <c r="X320" s="7">
        <f>100-(O$436-Tabell2[[#This Row],[Kvinneandel-T]])*100/O$439</f>
        <v>27.85101343925065</v>
      </c>
      <c r="Y320" s="7">
        <f>(P$436-Tabell2[[#This Row],[Eldreandel-T]])*100/P$439</f>
        <v>29.089751754103073</v>
      </c>
      <c r="Z320" s="7">
        <f>100-(Q$436-Tabell2[[#This Row],[Sysselsettingsvekst10-T]])*100/Q$439</f>
        <v>37.522168941419039</v>
      </c>
      <c r="AA320" s="7">
        <f>100-(R$436-Tabell2[[#This Row],[Yrkesaktivandel-T]])*100/R$439</f>
        <v>77.364893279922001</v>
      </c>
      <c r="AB320" s="7">
        <f>100-(S$436-Tabell2[[#This Row],[Inntekt-T]])*100/S$439</f>
        <v>25.841653122823317</v>
      </c>
      <c r="AC320" s="55">
        <f>Tabell2[[#This Row],[NIBR11-I]]*Vekter!$B$3</f>
        <v>18</v>
      </c>
      <c r="AD320" s="55">
        <f>Tabell2[[#This Row],[ReisetidOslo-I]]*Vekter!$C$3</f>
        <v>4.1289945155399073</v>
      </c>
      <c r="AE320" s="55">
        <f>Tabell2[[#This Row],[Beftettotal-I]]*Vekter!$D$3</f>
        <v>0.15260076175554077</v>
      </c>
      <c r="AF320" s="55">
        <f>Tabell2[[#This Row],[Befvekst10-I]]*Vekter!$E$3</f>
        <v>7.9531880142622162</v>
      </c>
      <c r="AG320" s="55">
        <f>Tabell2[[#This Row],[Kvinneandel-I]]*Vekter!$F$3</f>
        <v>1.3925506719625327</v>
      </c>
      <c r="AH320" s="55">
        <f>Tabell2[[#This Row],[Eldreandel-I]]*Vekter!$G$3</f>
        <v>1.4544875877051537</v>
      </c>
      <c r="AI320" s="55">
        <f>Tabell2[[#This Row],[Sysselsettingsvekst10-I]]*Vekter!$H$3</f>
        <v>3.7522168941419043</v>
      </c>
      <c r="AJ320" s="55">
        <f>Tabell2[[#This Row],[Yrkesaktivandel-I]]*Vekter!$J$3</f>
        <v>7.7364893279922002</v>
      </c>
      <c r="AK320" s="55">
        <f>Tabell2[[#This Row],[Inntekt-I]]*Vekter!$L$3</f>
        <v>2.584165312282332</v>
      </c>
      <c r="AL320" s="56">
        <f>SUM(Tabell2[[#This Row],[NIBR11-v]:[Inntekt-v]])</f>
        <v>47.154693085641789</v>
      </c>
    </row>
    <row r="321" spans="1:38" x14ac:dyDescent="0.25">
      <c r="A321" s="2" t="s">
        <v>318</v>
      </c>
      <c r="B321">
        <f>'Rådata-K'!M320</f>
        <v>11</v>
      </c>
      <c r="C321" s="7">
        <f>'Rådata-K'!L320</f>
        <v>204.9</v>
      </c>
      <c r="D321" s="34">
        <f>'Rådata-K'!N320</f>
        <v>0.64925294533636269</v>
      </c>
      <c r="E321" s="34">
        <f>'Rådata-K'!O320</f>
        <v>-4.3237250554323703E-2</v>
      </c>
      <c r="F321" s="34">
        <f>'Rådata-K'!P320</f>
        <v>9.7334878331402086E-2</v>
      </c>
      <c r="G321" s="34">
        <f>'Rådata-K'!Q320</f>
        <v>0.22595596755504055</v>
      </c>
      <c r="H321" s="34">
        <f>'Rådata-K'!R320</f>
        <v>4.0322580645161255E-2</v>
      </c>
      <c r="I321" s="34">
        <f>'Rådata-K'!S320</f>
        <v>1.0084566596194504</v>
      </c>
      <c r="J321" s="22">
        <f>'Rådata-K'!K320</f>
        <v>336100</v>
      </c>
      <c r="K321" s="22">
        <f>Tabell2[[#This Row],[NIBR11]]</f>
        <v>11</v>
      </c>
      <c r="L321" s="32">
        <f>IF(Tabell2[[#This Row],[ReisetidOslo]]&lt;=C$434,C$434,IF(Tabell2[[#This Row],[ReisetidOslo]]&gt;=C$435,C$435,Tabell2[[#This Row],[ReisetidOslo]]))</f>
        <v>204.9</v>
      </c>
      <c r="M321" s="32">
        <f>IF(Tabell2[[#This Row],[Beftettotal]]&lt;=D$434,D$434,IF(Tabell2[[#This Row],[Beftettotal]]&gt;=D$435,D$435,Tabell2[[#This Row],[Beftettotal]]))</f>
        <v>1.3297721240876861</v>
      </c>
      <c r="N321" s="34">
        <f>IF(Tabell2[[#This Row],[Befvekst10]]&lt;=E$434,E$434,IF(Tabell2[[#This Row],[Befvekst10]]&gt;=E$435,E$435,Tabell2[[#This Row],[Befvekst10]]))</f>
        <v>-4.3237250554323703E-2</v>
      </c>
      <c r="O321" s="34">
        <f>IF(Tabell2[[#This Row],[Kvinneandel]]&lt;=F$434,F$434,IF(Tabell2[[#This Row],[Kvinneandel]]&gt;=F$435,F$435,Tabell2[[#This Row],[Kvinneandel]]))</f>
        <v>9.7334878331402086E-2</v>
      </c>
      <c r="P321" s="34">
        <f>IF(Tabell2[[#This Row],[Eldreandel]]&lt;=G$434,G$434,IF(Tabell2[[#This Row],[Eldreandel]]&gt;=G$435,G$435,Tabell2[[#This Row],[Eldreandel]]))</f>
        <v>0.21438492803547596</v>
      </c>
      <c r="Q321" s="34">
        <f>IF(Tabell2[[#This Row],[Sysselsettingsvekst10]]&lt;=H$434,H$434,IF(Tabell2[[#This Row],[Sysselsettingsvekst10]]&gt;=H$435,H$435,Tabell2[[#This Row],[Sysselsettingsvekst10]]))</f>
        <v>4.0322580645161255E-2</v>
      </c>
      <c r="R321" s="34">
        <f>IF(Tabell2[[#This Row],[Yrkesaktivandel]]&lt;=I$434,I$434,IF(Tabell2[[#This Row],[Yrkesaktivandel]]&gt;=I$435,I$435,Tabell2[[#This Row],[Yrkesaktivandel]]))</f>
        <v>0.96203284815106216</v>
      </c>
      <c r="S321" s="22">
        <f>IF(Tabell2[[#This Row],[Inntekt]]&lt;=J$434,J$434,IF(Tabell2[[#This Row],[Inntekt]]&gt;=J$435,J$435,Tabell2[[#This Row],[Inntekt]]))</f>
        <v>336100</v>
      </c>
      <c r="T321" s="22">
        <f>IF(Tabell2[[#This Row],[NIBR11-T]]&lt;=K$437,100,IF(Tabell2[[#This Row],[NIBR11-T]]&gt;=K$436,0,100*(K$436-Tabell2[[#This Row],[NIBR11-T]])/K$439))</f>
        <v>0</v>
      </c>
      <c r="U321" s="7">
        <f>IF(Tabell2[[#This Row],[ReisetidOslo-T]]&lt;=L$437,100,IF(Tabell2[[#This Row],[ReisetidOslo-T]]&gt;=L$436,0,100*(L$436-Tabell2[[#This Row],[ReisetidOslo-T]])/L$439))</f>
        <v>33.151005484467539</v>
      </c>
      <c r="V321" s="7">
        <f>100-(M$436-Tabell2[[#This Row],[Beftettotal-T]])*100/M$439</f>
        <v>0</v>
      </c>
      <c r="W321" s="7">
        <f>100-(N$436-Tabell2[[#This Row],[Befvekst10-T]])*100/N$439</f>
        <v>13.270460278214614</v>
      </c>
      <c r="X321" s="7">
        <f>100-(O$436-Tabell2[[#This Row],[Kvinneandel-T]])*100/O$439</f>
        <v>18.086943217939861</v>
      </c>
      <c r="Y321" s="7">
        <f>(P$436-Tabell2[[#This Row],[Eldreandel-T]])*100/P$439</f>
        <v>0</v>
      </c>
      <c r="Z321" s="7">
        <f>100-(Q$436-Tabell2[[#This Row],[Sysselsettingsvekst10-T]])*100/Q$439</f>
        <v>32.746179651980995</v>
      </c>
      <c r="AA321" s="7">
        <f>100-(R$436-Tabell2[[#This Row],[Yrkesaktivandel-T]])*100/R$439</f>
        <v>100</v>
      </c>
      <c r="AB321" s="7">
        <f>100-(S$436-Tabell2[[#This Row],[Inntekt-T]])*100/S$439</f>
        <v>5.177617831437189</v>
      </c>
      <c r="AC321" s="55">
        <f>Tabell2[[#This Row],[NIBR11-I]]*Vekter!$B$3</f>
        <v>0</v>
      </c>
      <c r="AD321" s="55">
        <f>Tabell2[[#This Row],[ReisetidOslo-I]]*Vekter!$C$3</f>
        <v>3.3151005484467539</v>
      </c>
      <c r="AE321" s="55">
        <f>Tabell2[[#This Row],[Beftettotal-I]]*Vekter!$D$3</f>
        <v>0</v>
      </c>
      <c r="AF321" s="55">
        <f>Tabell2[[#This Row],[Befvekst10-I]]*Vekter!$E$3</f>
        <v>2.6540920556429231</v>
      </c>
      <c r="AG321" s="55">
        <f>Tabell2[[#This Row],[Kvinneandel-I]]*Vekter!$F$3</f>
        <v>0.90434716089699307</v>
      </c>
      <c r="AH321" s="55">
        <f>Tabell2[[#This Row],[Eldreandel-I]]*Vekter!$G$3</f>
        <v>0</v>
      </c>
      <c r="AI321" s="55">
        <f>Tabell2[[#This Row],[Sysselsettingsvekst10-I]]*Vekter!$H$3</f>
        <v>3.2746179651980998</v>
      </c>
      <c r="AJ321" s="55">
        <f>Tabell2[[#This Row],[Yrkesaktivandel-I]]*Vekter!$J$3</f>
        <v>10</v>
      </c>
      <c r="AK321" s="55">
        <f>Tabell2[[#This Row],[Inntekt-I]]*Vekter!$L$3</f>
        <v>0.5177617831437189</v>
      </c>
      <c r="AL321" s="56">
        <f>SUM(Tabell2[[#This Row],[NIBR11-v]:[Inntekt-v]])</f>
        <v>20.66591951332849</v>
      </c>
    </row>
    <row r="322" spans="1:38" x14ac:dyDescent="0.25">
      <c r="A322" s="2" t="s">
        <v>319</v>
      </c>
      <c r="B322">
        <f>'Rådata-K'!M321</f>
        <v>6</v>
      </c>
      <c r="C322" s="7">
        <f>'Rådata-K'!L321</f>
        <v>227.3</v>
      </c>
      <c r="D322" s="34">
        <f>'Rådata-K'!N321</f>
        <v>13.839348495889745</v>
      </c>
      <c r="E322" s="34">
        <f>'Rådata-K'!O321</f>
        <v>5.470843279582982E-2</v>
      </c>
      <c r="F322" s="34">
        <f>'Rådata-K'!P321</f>
        <v>0.11039260969976905</v>
      </c>
      <c r="G322" s="34">
        <f>'Rådata-K'!Q321</f>
        <v>0.17191685912240184</v>
      </c>
      <c r="H322" s="34">
        <f>'Rådata-K'!R321</f>
        <v>9.1997934950954985E-2</v>
      </c>
      <c r="I322" s="34">
        <f>'Rådata-K'!S321</f>
        <v>0.86635414096553998</v>
      </c>
      <c r="J322" s="22">
        <f>'Rådata-K'!K321</f>
        <v>354400</v>
      </c>
      <c r="K322" s="22">
        <f>Tabell2[[#This Row],[NIBR11]]</f>
        <v>6</v>
      </c>
      <c r="L322" s="32">
        <f>IF(Tabell2[[#This Row],[ReisetidOslo]]&lt;=C$434,C$434,IF(Tabell2[[#This Row],[ReisetidOslo]]&gt;=C$435,C$435,Tabell2[[#This Row],[ReisetidOslo]]))</f>
        <v>227.3</v>
      </c>
      <c r="M322" s="32">
        <f>IF(Tabell2[[#This Row],[Beftettotal]]&lt;=D$434,D$434,IF(Tabell2[[#This Row],[Beftettotal]]&gt;=D$435,D$435,Tabell2[[#This Row],[Beftettotal]]))</f>
        <v>13.839348495889745</v>
      </c>
      <c r="N322" s="34">
        <f>IF(Tabell2[[#This Row],[Befvekst10]]&lt;=E$434,E$434,IF(Tabell2[[#This Row],[Befvekst10]]&gt;=E$435,E$435,Tabell2[[#This Row],[Befvekst10]]))</f>
        <v>5.470843279582982E-2</v>
      </c>
      <c r="O322" s="34">
        <f>IF(Tabell2[[#This Row],[Kvinneandel]]&lt;=F$434,F$434,IF(Tabell2[[#This Row],[Kvinneandel]]&gt;=F$435,F$435,Tabell2[[#This Row],[Kvinneandel]]))</f>
        <v>0.11039260969976905</v>
      </c>
      <c r="P322" s="34">
        <f>IF(Tabell2[[#This Row],[Eldreandel]]&lt;=G$434,G$434,IF(Tabell2[[#This Row],[Eldreandel]]&gt;=G$435,G$435,Tabell2[[#This Row],[Eldreandel]]))</f>
        <v>0.17191685912240184</v>
      </c>
      <c r="Q322" s="34">
        <f>IF(Tabell2[[#This Row],[Sysselsettingsvekst10]]&lt;=H$434,H$434,IF(Tabell2[[#This Row],[Sysselsettingsvekst10]]&gt;=H$435,H$435,Tabell2[[#This Row],[Sysselsettingsvekst10]]))</f>
        <v>9.1997934950954985E-2</v>
      </c>
      <c r="R322" s="34">
        <f>IF(Tabell2[[#This Row],[Yrkesaktivandel]]&lt;=I$434,I$434,IF(Tabell2[[#This Row],[Yrkesaktivandel]]&gt;=I$435,I$435,Tabell2[[#This Row],[Yrkesaktivandel]]))</f>
        <v>0.86635414096553998</v>
      </c>
      <c r="S322" s="22">
        <f>IF(Tabell2[[#This Row],[Inntekt]]&lt;=J$434,J$434,IF(Tabell2[[#This Row],[Inntekt]]&gt;=J$435,J$435,Tabell2[[#This Row],[Inntekt]]))</f>
        <v>354400</v>
      </c>
      <c r="T322" s="22">
        <f>IF(Tabell2[[#This Row],[NIBR11-T]]&lt;=K$437,100,IF(Tabell2[[#This Row],[NIBR11-T]]&gt;=K$436,0,100*(K$436-Tabell2[[#This Row],[NIBR11-T]])/K$439))</f>
        <v>50</v>
      </c>
      <c r="U322" s="7">
        <f>IF(Tabell2[[#This Row],[ReisetidOslo-T]]&lt;=L$437,100,IF(Tabell2[[#This Row],[ReisetidOslo-T]]&gt;=L$436,0,100*(L$436-Tabell2[[#This Row],[ReisetidOslo-T]])/L$439))</f>
        <v>23.322851919569089</v>
      </c>
      <c r="V322" s="7">
        <f>100-(M$436-Tabell2[[#This Row],[Beftettotal-T]])*100/M$439</f>
        <v>9.6770427469973299</v>
      </c>
      <c r="W322" s="7">
        <f>100-(N$436-Tabell2[[#This Row],[Befvekst10-T]])*100/N$439</f>
        <v>52.70697272208664</v>
      </c>
      <c r="X322" s="7">
        <f>100-(O$436-Tabell2[[#This Row],[Kvinneandel-T]])*100/O$439</f>
        <v>52.591756390012179</v>
      </c>
      <c r="Y322" s="7">
        <f>(P$436-Tabell2[[#This Row],[Eldreandel-T]])*100/P$439</f>
        <v>46.534468830582334</v>
      </c>
      <c r="Z322" s="7">
        <f>100-(Q$436-Tabell2[[#This Row],[Sysselsettingsvekst10-T]])*100/Q$439</f>
        <v>48.121711321454114</v>
      </c>
      <c r="AA322" s="7">
        <f>100-(R$436-Tabell2[[#This Row],[Yrkesaktivandel-T]])*100/R$439</f>
        <v>26.433431516727836</v>
      </c>
      <c r="AB322" s="7">
        <f>100-(S$436-Tabell2[[#This Row],[Inntekt-T]])*100/S$439</f>
        <v>26.422103552356631</v>
      </c>
      <c r="AC322" s="55">
        <f>Tabell2[[#This Row],[NIBR11-I]]*Vekter!$B$3</f>
        <v>10</v>
      </c>
      <c r="AD322" s="55">
        <f>Tabell2[[#This Row],[ReisetidOslo-I]]*Vekter!$C$3</f>
        <v>2.3322851919569092</v>
      </c>
      <c r="AE322" s="55">
        <f>Tabell2[[#This Row],[Beftettotal-I]]*Vekter!$D$3</f>
        <v>0.96770427469973308</v>
      </c>
      <c r="AF322" s="55">
        <f>Tabell2[[#This Row],[Befvekst10-I]]*Vekter!$E$3</f>
        <v>10.541394544417329</v>
      </c>
      <c r="AG322" s="55">
        <f>Tabell2[[#This Row],[Kvinneandel-I]]*Vekter!$F$3</f>
        <v>2.629587819500609</v>
      </c>
      <c r="AH322" s="55">
        <f>Tabell2[[#This Row],[Eldreandel-I]]*Vekter!$G$3</f>
        <v>2.3267234415291167</v>
      </c>
      <c r="AI322" s="55">
        <f>Tabell2[[#This Row],[Sysselsettingsvekst10-I]]*Vekter!$H$3</f>
        <v>4.8121711321454121</v>
      </c>
      <c r="AJ322" s="55">
        <f>Tabell2[[#This Row],[Yrkesaktivandel-I]]*Vekter!$J$3</f>
        <v>2.6433431516727839</v>
      </c>
      <c r="AK322" s="55">
        <f>Tabell2[[#This Row],[Inntekt-I]]*Vekter!$L$3</f>
        <v>2.6422103552356635</v>
      </c>
      <c r="AL322" s="56">
        <f>SUM(Tabell2[[#This Row],[NIBR11-v]:[Inntekt-v]])</f>
        <v>38.895419911157546</v>
      </c>
    </row>
    <row r="323" spans="1:38" x14ac:dyDescent="0.25">
      <c r="A323" s="2" t="s">
        <v>320</v>
      </c>
      <c r="B323">
        <f>'Rådata-K'!M322</f>
        <v>6</v>
      </c>
      <c r="C323" s="7">
        <f>'Rådata-K'!L322</f>
        <v>214.6</v>
      </c>
      <c r="D323" s="34">
        <f>'Rådata-K'!N322</f>
        <v>16.759949048519704</v>
      </c>
      <c r="E323" s="34">
        <f>'Rådata-K'!O322</f>
        <v>4.2246759481517016E-2</v>
      </c>
      <c r="F323" s="34">
        <f>'Rådata-K'!P322</f>
        <v>0.11860893597420544</v>
      </c>
      <c r="G323" s="34">
        <f>'Rådata-K'!Q322</f>
        <v>0.14977736834024258</v>
      </c>
      <c r="H323" s="34">
        <f>'Rådata-K'!R322</f>
        <v>9.9811971168912494E-2</v>
      </c>
      <c r="I323" s="34">
        <f>'Rådata-K'!S322</f>
        <v>0.88124999999999998</v>
      </c>
      <c r="J323" s="22">
        <f>'Rådata-K'!K322</f>
        <v>365800</v>
      </c>
      <c r="K323" s="22">
        <f>Tabell2[[#This Row],[NIBR11]]</f>
        <v>6</v>
      </c>
      <c r="L323" s="32">
        <f>IF(Tabell2[[#This Row],[ReisetidOslo]]&lt;=C$434,C$434,IF(Tabell2[[#This Row],[ReisetidOslo]]&gt;=C$435,C$435,Tabell2[[#This Row],[ReisetidOslo]]))</f>
        <v>214.6</v>
      </c>
      <c r="M323" s="32">
        <f>IF(Tabell2[[#This Row],[Beftettotal]]&lt;=D$434,D$434,IF(Tabell2[[#This Row],[Beftettotal]]&gt;=D$435,D$435,Tabell2[[#This Row],[Beftettotal]]))</f>
        <v>16.759949048519704</v>
      </c>
      <c r="N323" s="34">
        <f>IF(Tabell2[[#This Row],[Befvekst10]]&lt;=E$434,E$434,IF(Tabell2[[#This Row],[Befvekst10]]&gt;=E$435,E$435,Tabell2[[#This Row],[Befvekst10]]))</f>
        <v>4.2246759481517016E-2</v>
      </c>
      <c r="O323" s="34">
        <f>IF(Tabell2[[#This Row],[Kvinneandel]]&lt;=F$434,F$434,IF(Tabell2[[#This Row],[Kvinneandel]]&gt;=F$435,F$435,Tabell2[[#This Row],[Kvinneandel]]))</f>
        <v>0.11860893597420544</v>
      </c>
      <c r="P323" s="34">
        <f>IF(Tabell2[[#This Row],[Eldreandel]]&lt;=G$434,G$434,IF(Tabell2[[#This Row],[Eldreandel]]&gt;=G$435,G$435,Tabell2[[#This Row],[Eldreandel]]))</f>
        <v>0.14977736834024258</v>
      </c>
      <c r="Q323" s="34">
        <f>IF(Tabell2[[#This Row],[Sysselsettingsvekst10]]&lt;=H$434,H$434,IF(Tabell2[[#This Row],[Sysselsettingsvekst10]]&gt;=H$435,H$435,Tabell2[[#This Row],[Sysselsettingsvekst10]]))</f>
        <v>9.9811971168912494E-2</v>
      </c>
      <c r="R323" s="34">
        <f>IF(Tabell2[[#This Row],[Yrkesaktivandel]]&lt;=I$434,I$434,IF(Tabell2[[#This Row],[Yrkesaktivandel]]&gt;=I$435,I$435,Tabell2[[#This Row],[Yrkesaktivandel]]))</f>
        <v>0.88124999999999998</v>
      </c>
      <c r="S323" s="22">
        <f>IF(Tabell2[[#This Row],[Inntekt]]&lt;=J$434,J$434,IF(Tabell2[[#This Row],[Inntekt]]&gt;=J$435,J$435,Tabell2[[#This Row],[Inntekt]]))</f>
        <v>365800</v>
      </c>
      <c r="T323" s="22">
        <f>IF(Tabell2[[#This Row],[NIBR11-T]]&lt;=K$437,100,IF(Tabell2[[#This Row],[NIBR11-T]]&gt;=K$436,0,100*(K$436-Tabell2[[#This Row],[NIBR11-T]])/K$439))</f>
        <v>50</v>
      </c>
      <c r="U323" s="7">
        <f>IF(Tabell2[[#This Row],[ReisetidOslo-T]]&lt;=L$437,100,IF(Tabell2[[#This Row],[ReisetidOslo-T]]&gt;=L$436,0,100*(L$436-Tabell2[[#This Row],[ReisetidOslo-T]])/L$439))</f>
        <v>28.895063985382055</v>
      </c>
      <c r="V323" s="7">
        <f>100-(M$436-Tabell2[[#This Row],[Beftettotal-T]])*100/M$439</f>
        <v>11.936333993534802</v>
      </c>
      <c r="W323" s="7">
        <f>100-(N$436-Tabell2[[#This Row],[Befvekst10-T]])*100/N$439</f>
        <v>47.689447519118168</v>
      </c>
      <c r="X323" s="7">
        <f>100-(O$436-Tabell2[[#This Row],[Kvinneandel-T]])*100/O$439</f>
        <v>74.303246315974107</v>
      </c>
      <c r="Y323" s="7">
        <f>(P$436-Tabell2[[#This Row],[Eldreandel-T]])*100/P$439</f>
        <v>70.793858769788756</v>
      </c>
      <c r="Z323" s="7">
        <f>100-(Q$436-Tabell2[[#This Row],[Sysselsettingsvekst10-T]])*100/Q$439</f>
        <v>50.446706726897226</v>
      </c>
      <c r="AA323" s="7">
        <f>100-(R$436-Tabell2[[#This Row],[Yrkesaktivandel-T]])*100/R$439</f>
        <v>37.886734618440187</v>
      </c>
      <c r="AB323" s="7">
        <f>100-(S$436-Tabell2[[#This Row],[Inntekt-T]])*100/S$439</f>
        <v>39.656373345716275</v>
      </c>
      <c r="AC323" s="55">
        <f>Tabell2[[#This Row],[NIBR11-I]]*Vekter!$B$3</f>
        <v>10</v>
      </c>
      <c r="AD323" s="55">
        <f>Tabell2[[#This Row],[ReisetidOslo-I]]*Vekter!$C$3</f>
        <v>2.8895063985382059</v>
      </c>
      <c r="AE323" s="55">
        <f>Tabell2[[#This Row],[Beftettotal-I]]*Vekter!$D$3</f>
        <v>1.1936333993534802</v>
      </c>
      <c r="AF323" s="55">
        <f>Tabell2[[#This Row],[Befvekst10-I]]*Vekter!$E$3</f>
        <v>9.5378895038236333</v>
      </c>
      <c r="AG323" s="55">
        <f>Tabell2[[#This Row],[Kvinneandel-I]]*Vekter!$F$3</f>
        <v>3.7151623157987057</v>
      </c>
      <c r="AH323" s="55">
        <f>Tabell2[[#This Row],[Eldreandel-I]]*Vekter!$G$3</f>
        <v>3.5396929384894378</v>
      </c>
      <c r="AI323" s="55">
        <f>Tabell2[[#This Row],[Sysselsettingsvekst10-I]]*Vekter!$H$3</f>
        <v>5.0446706726897226</v>
      </c>
      <c r="AJ323" s="55">
        <f>Tabell2[[#This Row],[Yrkesaktivandel-I]]*Vekter!$J$3</f>
        <v>3.7886734618440188</v>
      </c>
      <c r="AK323" s="55">
        <f>Tabell2[[#This Row],[Inntekt-I]]*Vekter!$L$3</f>
        <v>3.9656373345716278</v>
      </c>
      <c r="AL323" s="56">
        <f>SUM(Tabell2[[#This Row],[NIBR11-v]:[Inntekt-v]])</f>
        <v>43.674866025108834</v>
      </c>
    </row>
    <row r="324" spans="1:38" x14ac:dyDescent="0.25">
      <c r="A324" s="2" t="s">
        <v>321</v>
      </c>
      <c r="B324">
        <f>'Rådata-K'!M323</f>
        <v>5</v>
      </c>
      <c r="C324" s="7">
        <f>'Rådata-K'!L323</f>
        <v>197.0833333333</v>
      </c>
      <c r="D324" s="34">
        <f>'Rådata-K'!N323</f>
        <v>2.0087638014166576</v>
      </c>
      <c r="E324" s="34">
        <f>'Rådata-K'!O323</f>
        <v>-7.8124999999995559E-4</v>
      </c>
      <c r="F324" s="34">
        <f>'Rådata-K'!P323</f>
        <v>0.11102423768569195</v>
      </c>
      <c r="G324" s="34">
        <f>'Rådata-K'!Q323</f>
        <v>0.18803752931978107</v>
      </c>
      <c r="H324" s="34">
        <f>'Rådata-K'!R323</f>
        <v>-9.3448940269749481E-2</v>
      </c>
      <c r="I324" s="34">
        <f>'Rådata-K'!S323</f>
        <v>0.81219341275402945</v>
      </c>
      <c r="J324" s="22">
        <f>'Rådata-K'!K323</f>
        <v>317100</v>
      </c>
      <c r="K324" s="22">
        <f>Tabell2[[#This Row],[NIBR11]]</f>
        <v>5</v>
      </c>
      <c r="L324" s="32">
        <f>IF(Tabell2[[#This Row],[ReisetidOslo]]&lt;=C$434,C$434,IF(Tabell2[[#This Row],[ReisetidOslo]]&gt;=C$435,C$435,Tabell2[[#This Row],[ReisetidOslo]]))</f>
        <v>197.0833333333</v>
      </c>
      <c r="M324" s="32">
        <f>IF(Tabell2[[#This Row],[Beftettotal]]&lt;=D$434,D$434,IF(Tabell2[[#This Row],[Beftettotal]]&gt;=D$435,D$435,Tabell2[[#This Row],[Beftettotal]]))</f>
        <v>2.0087638014166576</v>
      </c>
      <c r="N324" s="34">
        <f>IF(Tabell2[[#This Row],[Befvekst10]]&lt;=E$434,E$434,IF(Tabell2[[#This Row],[Befvekst10]]&gt;=E$435,E$435,Tabell2[[#This Row],[Befvekst10]]))</f>
        <v>-7.8124999999995559E-4</v>
      </c>
      <c r="O324" s="34">
        <f>IF(Tabell2[[#This Row],[Kvinneandel]]&lt;=F$434,F$434,IF(Tabell2[[#This Row],[Kvinneandel]]&gt;=F$435,F$435,Tabell2[[#This Row],[Kvinneandel]]))</f>
        <v>0.11102423768569195</v>
      </c>
      <c r="P324" s="34">
        <f>IF(Tabell2[[#This Row],[Eldreandel]]&lt;=G$434,G$434,IF(Tabell2[[#This Row],[Eldreandel]]&gt;=G$435,G$435,Tabell2[[#This Row],[Eldreandel]]))</f>
        <v>0.18803752931978107</v>
      </c>
      <c r="Q324" s="34">
        <f>IF(Tabell2[[#This Row],[Sysselsettingsvekst10]]&lt;=H$434,H$434,IF(Tabell2[[#This Row],[Sysselsettingsvekst10]]&gt;=H$435,H$435,Tabell2[[#This Row],[Sysselsettingsvekst10]]))</f>
        <v>-6.9733479337269061E-2</v>
      </c>
      <c r="R324" s="34">
        <f>IF(Tabell2[[#This Row],[Yrkesaktivandel]]&lt;=I$434,I$434,IF(Tabell2[[#This Row],[Yrkesaktivandel]]&gt;=I$435,I$435,Tabell2[[#This Row],[Yrkesaktivandel]]))</f>
        <v>0.83197552842263423</v>
      </c>
      <c r="S324" s="22">
        <f>IF(Tabell2[[#This Row],[Inntekt]]&lt;=J$434,J$434,IF(Tabell2[[#This Row],[Inntekt]]&gt;=J$435,J$435,Tabell2[[#This Row],[Inntekt]]))</f>
        <v>331640</v>
      </c>
      <c r="T324" s="22">
        <f>IF(Tabell2[[#This Row],[NIBR11-T]]&lt;=K$437,100,IF(Tabell2[[#This Row],[NIBR11-T]]&gt;=K$436,0,100*(K$436-Tabell2[[#This Row],[NIBR11-T]])/K$439))</f>
        <v>60</v>
      </c>
      <c r="U324" s="7">
        <f>IF(Tabell2[[#This Row],[ReisetidOslo-T]]&lt;=L$437,100,IF(Tabell2[[#This Row],[ReisetidOslo-T]]&gt;=L$436,0,100*(L$436-Tabell2[[#This Row],[ReisetidOslo-T]])/L$439))</f>
        <v>36.580621572233184</v>
      </c>
      <c r="V324" s="7">
        <f>100-(M$436-Tabell2[[#This Row],[Beftettotal-T]])*100/M$439</f>
        <v>0.52524812120566367</v>
      </c>
      <c r="W324" s="7">
        <f>100-(N$436-Tabell2[[#This Row],[Befvekst10-T]])*100/N$439</f>
        <v>30.364798046955102</v>
      </c>
      <c r="X324" s="7">
        <f>100-(O$436-Tabell2[[#This Row],[Kvinneandel-T]])*100/O$439</f>
        <v>54.260821638307867</v>
      </c>
      <c r="Y324" s="7">
        <f>(P$436-Tabell2[[#This Row],[Eldreandel-T]])*100/P$439</f>
        <v>28.870213213885418</v>
      </c>
      <c r="Z324" s="7">
        <f>100-(Q$436-Tabell2[[#This Row],[Sysselsettingsvekst10-T]])*100/Q$439</f>
        <v>0</v>
      </c>
      <c r="AA324" s="7">
        <f>100-(R$436-Tabell2[[#This Row],[Yrkesaktivandel-T]])*100/R$439</f>
        <v>0</v>
      </c>
      <c r="AB324" s="7">
        <f>100-(S$436-Tabell2[[#This Row],[Inntekt-T]])*100/S$439</f>
        <v>0</v>
      </c>
      <c r="AC324" s="55">
        <f>Tabell2[[#This Row],[NIBR11-I]]*Vekter!$B$3</f>
        <v>12</v>
      </c>
      <c r="AD324" s="55">
        <f>Tabell2[[#This Row],[ReisetidOslo-I]]*Vekter!$C$3</f>
        <v>3.6580621572233185</v>
      </c>
      <c r="AE324" s="55">
        <f>Tabell2[[#This Row],[Beftettotal-I]]*Vekter!$D$3</f>
        <v>5.2524812120566367E-2</v>
      </c>
      <c r="AF324" s="55">
        <f>Tabell2[[#This Row],[Befvekst10-I]]*Vekter!$E$3</f>
        <v>6.0729596093910203</v>
      </c>
      <c r="AG324" s="55">
        <f>Tabell2[[#This Row],[Kvinneandel-I]]*Vekter!$F$3</f>
        <v>2.7130410819153936</v>
      </c>
      <c r="AH324" s="55">
        <f>Tabell2[[#This Row],[Eldreandel-I]]*Vekter!$G$3</f>
        <v>1.4435106606942709</v>
      </c>
      <c r="AI324" s="55">
        <f>Tabell2[[#This Row],[Sysselsettingsvekst10-I]]*Vekter!$H$3</f>
        <v>0</v>
      </c>
      <c r="AJ324" s="55">
        <f>Tabell2[[#This Row],[Yrkesaktivandel-I]]*Vekter!$J$3</f>
        <v>0</v>
      </c>
      <c r="AK324" s="55">
        <f>Tabell2[[#This Row],[Inntekt-I]]*Vekter!$L$3</f>
        <v>0</v>
      </c>
      <c r="AL324" s="56">
        <f>SUM(Tabell2[[#This Row],[NIBR11-v]:[Inntekt-v]])</f>
        <v>25.940098321344571</v>
      </c>
    </row>
    <row r="325" spans="1:38" x14ac:dyDescent="0.25">
      <c r="A325" s="2" t="s">
        <v>322</v>
      </c>
      <c r="B325">
        <f>'Rådata-K'!M324</f>
        <v>2</v>
      </c>
      <c r="C325" s="7">
        <f>'Rådata-K'!L324</f>
        <v>157.71666666666999</v>
      </c>
      <c r="D325" s="34">
        <f>'Rådata-K'!N324</f>
        <v>24.469717964569696</v>
      </c>
      <c r="E325" s="34">
        <f>'Rådata-K'!O324</f>
        <v>0.17355076168080963</v>
      </c>
      <c r="F325" s="34">
        <f>'Rådata-K'!P324</f>
        <v>0.11730626824062378</v>
      </c>
      <c r="G325" s="34">
        <f>'Rådata-K'!Q324</f>
        <v>0.14244021431371695</v>
      </c>
      <c r="H325" s="34">
        <f>'Rådata-K'!R324</f>
        <v>0.27586605080831417</v>
      </c>
      <c r="I325" s="34">
        <f>'Rådata-K'!S324</f>
        <v>0.88758854327071146</v>
      </c>
      <c r="J325" s="22">
        <f>'Rådata-K'!K324</f>
        <v>384400</v>
      </c>
      <c r="K325" s="22">
        <f>Tabell2[[#This Row],[NIBR11]]</f>
        <v>2</v>
      </c>
      <c r="L325" s="32">
        <f>IF(Tabell2[[#This Row],[ReisetidOslo]]&lt;=C$434,C$434,IF(Tabell2[[#This Row],[ReisetidOslo]]&gt;=C$435,C$435,Tabell2[[#This Row],[ReisetidOslo]]))</f>
        <v>157.71666666666999</v>
      </c>
      <c r="M325" s="32">
        <f>IF(Tabell2[[#This Row],[Beftettotal]]&lt;=D$434,D$434,IF(Tabell2[[#This Row],[Beftettotal]]&gt;=D$435,D$435,Tabell2[[#This Row],[Beftettotal]]))</f>
        <v>24.469717964569696</v>
      </c>
      <c r="N325" s="34">
        <f>IF(Tabell2[[#This Row],[Befvekst10]]&lt;=E$434,E$434,IF(Tabell2[[#This Row],[Befvekst10]]&gt;=E$435,E$435,Tabell2[[#This Row],[Befvekst10]]))</f>
        <v>0.17216678769030419</v>
      </c>
      <c r="O325" s="34">
        <f>IF(Tabell2[[#This Row],[Kvinneandel]]&lt;=F$434,F$434,IF(Tabell2[[#This Row],[Kvinneandel]]&gt;=F$435,F$435,Tabell2[[#This Row],[Kvinneandel]]))</f>
        <v>0.11730626824062378</v>
      </c>
      <c r="P325" s="34">
        <f>IF(Tabell2[[#This Row],[Eldreandel]]&lt;=G$434,G$434,IF(Tabell2[[#This Row],[Eldreandel]]&gt;=G$435,G$435,Tabell2[[#This Row],[Eldreandel]]))</f>
        <v>0.14244021431371695</v>
      </c>
      <c r="Q325" s="34">
        <f>IF(Tabell2[[#This Row],[Sysselsettingsvekst10]]&lt;=H$434,H$434,IF(Tabell2[[#This Row],[Sysselsettingsvekst10]]&gt;=H$435,H$435,Tabell2[[#This Row],[Sysselsettingsvekst10]]))</f>
        <v>0.26635476409167841</v>
      </c>
      <c r="R325" s="34">
        <f>IF(Tabell2[[#This Row],[Yrkesaktivandel]]&lt;=I$434,I$434,IF(Tabell2[[#This Row],[Yrkesaktivandel]]&gt;=I$435,I$435,Tabell2[[#This Row],[Yrkesaktivandel]]))</f>
        <v>0.88758854327071146</v>
      </c>
      <c r="S325" s="22">
        <f>IF(Tabell2[[#This Row],[Inntekt]]&lt;=J$434,J$434,IF(Tabell2[[#This Row],[Inntekt]]&gt;=J$435,J$435,Tabell2[[#This Row],[Inntekt]]))</f>
        <v>384400</v>
      </c>
      <c r="T325" s="22">
        <f>IF(Tabell2[[#This Row],[NIBR11-T]]&lt;=K$437,100,IF(Tabell2[[#This Row],[NIBR11-T]]&gt;=K$436,0,100*(K$436-Tabell2[[#This Row],[NIBR11-T]])/K$439))</f>
        <v>90</v>
      </c>
      <c r="U325" s="7">
        <f>IF(Tabell2[[#This Row],[ReisetidOslo-T]]&lt;=L$437,100,IF(Tabell2[[#This Row],[ReisetidOslo-T]]&gt;=L$436,0,100*(L$436-Tabell2[[#This Row],[ReisetidOslo-T]])/L$439))</f>
        <v>53.853016453385344</v>
      </c>
      <c r="V325" s="7">
        <f>100-(M$436-Tabell2[[#This Row],[Beftettotal-T]])*100/M$439</f>
        <v>17.900385944827192</v>
      </c>
      <c r="W325" s="7">
        <f>100-(N$436-Tabell2[[#This Row],[Befvekst10-T]])*100/N$439</f>
        <v>100</v>
      </c>
      <c r="X325" s="7">
        <f>100-(O$436-Tabell2[[#This Row],[Kvinneandel-T]])*100/O$439</f>
        <v>70.860970969323034</v>
      </c>
      <c r="Y325" s="7">
        <f>(P$436-Tabell2[[#This Row],[Eldreandel-T]])*100/P$439</f>
        <v>78.833559516516772</v>
      </c>
      <c r="Z325" s="7">
        <f>100-(Q$436-Tabell2[[#This Row],[Sysselsettingsvekst10-T]])*100/Q$439</f>
        <v>100</v>
      </c>
      <c r="AA325" s="7">
        <f>100-(R$436-Tabell2[[#This Row],[Yrkesaktivandel-T]])*100/R$439</f>
        <v>42.760388238203362</v>
      </c>
      <c r="AB325" s="7">
        <f>100-(S$436-Tabell2[[#This Row],[Inntekt-T]])*100/S$439</f>
        <v>61.2491293243557</v>
      </c>
      <c r="AC325" s="55">
        <f>Tabell2[[#This Row],[NIBR11-I]]*Vekter!$B$3</f>
        <v>18</v>
      </c>
      <c r="AD325" s="55">
        <f>Tabell2[[#This Row],[ReisetidOslo-I]]*Vekter!$C$3</f>
        <v>5.3853016453385347</v>
      </c>
      <c r="AE325" s="55">
        <f>Tabell2[[#This Row],[Beftettotal-I]]*Vekter!$D$3</f>
        <v>1.7900385944827193</v>
      </c>
      <c r="AF325" s="55">
        <f>Tabell2[[#This Row],[Befvekst10-I]]*Vekter!$E$3</f>
        <v>20</v>
      </c>
      <c r="AG325" s="55">
        <f>Tabell2[[#This Row],[Kvinneandel-I]]*Vekter!$F$3</f>
        <v>3.5430485484661518</v>
      </c>
      <c r="AH325" s="55">
        <f>Tabell2[[#This Row],[Eldreandel-I]]*Vekter!$G$3</f>
        <v>3.9416779758258387</v>
      </c>
      <c r="AI325" s="55">
        <f>Tabell2[[#This Row],[Sysselsettingsvekst10-I]]*Vekter!$H$3</f>
        <v>10</v>
      </c>
      <c r="AJ325" s="55">
        <f>Tabell2[[#This Row],[Yrkesaktivandel-I]]*Vekter!$J$3</f>
        <v>4.2760388238203362</v>
      </c>
      <c r="AK325" s="55">
        <f>Tabell2[[#This Row],[Inntekt-I]]*Vekter!$L$3</f>
        <v>6.1249129324355707</v>
      </c>
      <c r="AL325" s="56">
        <f>SUM(Tabell2[[#This Row],[NIBR11-v]:[Inntekt-v]])</f>
        <v>73.061018520369146</v>
      </c>
    </row>
    <row r="326" spans="1:38" x14ac:dyDescent="0.25">
      <c r="A326" s="2" t="s">
        <v>323</v>
      </c>
      <c r="B326">
        <f>'Rådata-K'!M325</f>
        <v>5</v>
      </c>
      <c r="C326" s="7">
        <f>'Rådata-K'!L325</f>
        <v>190.23333333330001</v>
      </c>
      <c r="D326" s="34">
        <f>'Rådata-K'!N325</f>
        <v>34.381551362683432</v>
      </c>
      <c r="E326" s="34">
        <f>'Rådata-K'!O325</f>
        <v>5.2547131969514549E-2</v>
      </c>
      <c r="F326" s="34">
        <f>'Rådata-K'!P325</f>
        <v>0.10708841463414634</v>
      </c>
      <c r="G326" s="34">
        <f>'Rådata-K'!Q325</f>
        <v>0.1875</v>
      </c>
      <c r="H326" s="34">
        <f>'Rådata-K'!R325</f>
        <v>6.6666666666666652E-2</v>
      </c>
      <c r="I326" s="34">
        <f>'Rådata-K'!S325</f>
        <v>0.87057991513437061</v>
      </c>
      <c r="J326" s="22">
        <f>'Rådata-K'!K325</f>
        <v>332400</v>
      </c>
      <c r="K326" s="22">
        <f>Tabell2[[#This Row],[NIBR11]]</f>
        <v>5</v>
      </c>
      <c r="L326" s="32">
        <f>IF(Tabell2[[#This Row],[ReisetidOslo]]&lt;=C$434,C$434,IF(Tabell2[[#This Row],[ReisetidOslo]]&gt;=C$435,C$435,Tabell2[[#This Row],[ReisetidOslo]]))</f>
        <v>190.23333333330001</v>
      </c>
      <c r="M326" s="32">
        <f>IF(Tabell2[[#This Row],[Beftettotal]]&lt;=D$434,D$434,IF(Tabell2[[#This Row],[Beftettotal]]&gt;=D$435,D$435,Tabell2[[#This Row],[Beftettotal]]))</f>
        <v>34.381551362683432</v>
      </c>
      <c r="N326" s="34">
        <f>IF(Tabell2[[#This Row],[Befvekst10]]&lt;=E$434,E$434,IF(Tabell2[[#This Row],[Befvekst10]]&gt;=E$435,E$435,Tabell2[[#This Row],[Befvekst10]]))</f>
        <v>5.2547131969514549E-2</v>
      </c>
      <c r="O326" s="34">
        <f>IF(Tabell2[[#This Row],[Kvinneandel]]&lt;=F$434,F$434,IF(Tabell2[[#This Row],[Kvinneandel]]&gt;=F$435,F$435,Tabell2[[#This Row],[Kvinneandel]]))</f>
        <v>0.10708841463414634</v>
      </c>
      <c r="P326" s="34">
        <f>IF(Tabell2[[#This Row],[Eldreandel]]&lt;=G$434,G$434,IF(Tabell2[[#This Row],[Eldreandel]]&gt;=G$435,G$435,Tabell2[[#This Row],[Eldreandel]]))</f>
        <v>0.1875</v>
      </c>
      <c r="Q326" s="34">
        <f>IF(Tabell2[[#This Row],[Sysselsettingsvekst10]]&lt;=H$434,H$434,IF(Tabell2[[#This Row],[Sysselsettingsvekst10]]&gt;=H$435,H$435,Tabell2[[#This Row],[Sysselsettingsvekst10]]))</f>
        <v>6.6666666666666652E-2</v>
      </c>
      <c r="R326" s="34">
        <f>IF(Tabell2[[#This Row],[Yrkesaktivandel]]&lt;=I$434,I$434,IF(Tabell2[[#This Row],[Yrkesaktivandel]]&gt;=I$435,I$435,Tabell2[[#This Row],[Yrkesaktivandel]]))</f>
        <v>0.87057991513437061</v>
      </c>
      <c r="S326" s="22">
        <f>IF(Tabell2[[#This Row],[Inntekt]]&lt;=J$434,J$434,IF(Tabell2[[#This Row],[Inntekt]]&gt;=J$435,J$435,Tabell2[[#This Row],[Inntekt]]))</f>
        <v>332400</v>
      </c>
      <c r="T326" s="22">
        <f>IF(Tabell2[[#This Row],[NIBR11-T]]&lt;=K$437,100,IF(Tabell2[[#This Row],[NIBR11-T]]&gt;=K$436,0,100*(K$436-Tabell2[[#This Row],[NIBR11-T]])/K$439))</f>
        <v>60</v>
      </c>
      <c r="U326" s="7">
        <f>IF(Tabell2[[#This Row],[ReisetidOslo-T]]&lt;=L$437,100,IF(Tabell2[[#This Row],[ReisetidOslo-T]]&gt;=L$436,0,100*(L$436-Tabell2[[#This Row],[ReisetidOslo-T]])/L$439))</f>
        <v>39.586106032927574</v>
      </c>
      <c r="V326" s="7">
        <f>100-(M$436-Tabell2[[#This Row],[Beftettotal-T]])*100/M$439</f>
        <v>25.567890634344138</v>
      </c>
      <c r="W326" s="7">
        <f>100-(N$436-Tabell2[[#This Row],[Befvekst10-T]])*100/N$439</f>
        <v>51.836754004767336</v>
      </c>
      <c r="X326" s="7">
        <f>100-(O$436-Tabell2[[#This Row],[Kvinneandel-T]])*100/O$439</f>
        <v>43.860482158135149</v>
      </c>
      <c r="Y326" s="7">
        <f>(P$436-Tabell2[[#This Row],[Eldreandel-T]])*100/P$439</f>
        <v>29.459212007969406</v>
      </c>
      <c r="Z326" s="7">
        <f>100-(Q$436-Tabell2[[#This Row],[Sysselsettingsvekst10-T]])*100/Q$439</f>
        <v>40.584622839618049</v>
      </c>
      <c r="AA326" s="7">
        <f>100-(R$436-Tabell2[[#This Row],[Yrkesaktivandel-T]])*100/R$439</f>
        <v>29.682594407101433</v>
      </c>
      <c r="AB326" s="7">
        <f>100-(S$436-Tabell2[[#This Row],[Inntekt-T]])*100/S$439</f>
        <v>0.88228465289064673</v>
      </c>
      <c r="AC326" s="55">
        <f>Tabell2[[#This Row],[NIBR11-I]]*Vekter!$B$3</f>
        <v>12</v>
      </c>
      <c r="AD326" s="55">
        <f>Tabell2[[#This Row],[ReisetidOslo-I]]*Vekter!$C$3</f>
        <v>3.9586106032927577</v>
      </c>
      <c r="AE326" s="55">
        <f>Tabell2[[#This Row],[Beftettotal-I]]*Vekter!$D$3</f>
        <v>2.5567890634344139</v>
      </c>
      <c r="AF326" s="55">
        <f>Tabell2[[#This Row],[Befvekst10-I]]*Vekter!$E$3</f>
        <v>10.367350800953467</v>
      </c>
      <c r="AG326" s="55">
        <f>Tabell2[[#This Row],[Kvinneandel-I]]*Vekter!$F$3</f>
        <v>2.1930241079067576</v>
      </c>
      <c r="AH326" s="55">
        <f>Tabell2[[#This Row],[Eldreandel-I]]*Vekter!$G$3</f>
        <v>1.4729606003984703</v>
      </c>
      <c r="AI326" s="55">
        <f>Tabell2[[#This Row],[Sysselsettingsvekst10-I]]*Vekter!$H$3</f>
        <v>4.0584622839618048</v>
      </c>
      <c r="AJ326" s="55">
        <f>Tabell2[[#This Row],[Yrkesaktivandel-I]]*Vekter!$J$3</f>
        <v>2.9682594407101437</v>
      </c>
      <c r="AK326" s="55">
        <f>Tabell2[[#This Row],[Inntekt-I]]*Vekter!$L$3</f>
        <v>8.8228465289064681E-2</v>
      </c>
      <c r="AL326" s="56">
        <f>SUM(Tabell2[[#This Row],[NIBR11-v]:[Inntekt-v]])</f>
        <v>39.663685365946876</v>
      </c>
    </row>
    <row r="327" spans="1:38" x14ac:dyDescent="0.25">
      <c r="A327" s="2" t="s">
        <v>324</v>
      </c>
      <c r="B327">
        <f>'Rådata-K'!M326</f>
        <v>2</v>
      </c>
      <c r="C327" s="7">
        <f>'Rådata-K'!L326</f>
        <v>250.48333333329998</v>
      </c>
      <c r="D327" s="34">
        <f>'Rådata-K'!N326</f>
        <v>8.1495083796285535</v>
      </c>
      <c r="E327" s="34">
        <f>'Rådata-K'!O326</f>
        <v>-5.7012542759404816E-4</v>
      </c>
      <c r="F327" s="34">
        <f>'Rådata-K'!P326</f>
        <v>0.11066742726754136</v>
      </c>
      <c r="G327" s="34">
        <f>'Rådata-K'!Q326</f>
        <v>0.18425556189389619</v>
      </c>
      <c r="H327" s="34">
        <f>'Rådata-K'!R326</f>
        <v>-2.5520483546004002E-2</v>
      </c>
      <c r="I327" s="34">
        <f>'Rådata-K'!S326</f>
        <v>0.89763779527559051</v>
      </c>
      <c r="J327" s="22">
        <f>'Rådata-K'!K326</f>
        <v>347200</v>
      </c>
      <c r="K327" s="22">
        <f>Tabell2[[#This Row],[NIBR11]]</f>
        <v>2</v>
      </c>
      <c r="L327" s="32">
        <f>IF(Tabell2[[#This Row],[ReisetidOslo]]&lt;=C$434,C$434,IF(Tabell2[[#This Row],[ReisetidOslo]]&gt;=C$435,C$435,Tabell2[[#This Row],[ReisetidOslo]]))</f>
        <v>250.48333333329998</v>
      </c>
      <c r="M327" s="32">
        <f>IF(Tabell2[[#This Row],[Beftettotal]]&lt;=D$434,D$434,IF(Tabell2[[#This Row],[Beftettotal]]&gt;=D$435,D$435,Tabell2[[#This Row],[Beftettotal]]))</f>
        <v>8.1495083796285535</v>
      </c>
      <c r="N327" s="34">
        <f>IF(Tabell2[[#This Row],[Befvekst10]]&lt;=E$434,E$434,IF(Tabell2[[#This Row],[Befvekst10]]&gt;=E$435,E$435,Tabell2[[#This Row],[Befvekst10]]))</f>
        <v>-5.7012542759404816E-4</v>
      </c>
      <c r="O327" s="34">
        <f>IF(Tabell2[[#This Row],[Kvinneandel]]&lt;=F$434,F$434,IF(Tabell2[[#This Row],[Kvinneandel]]&gt;=F$435,F$435,Tabell2[[#This Row],[Kvinneandel]]))</f>
        <v>0.11066742726754136</v>
      </c>
      <c r="P327" s="34">
        <f>IF(Tabell2[[#This Row],[Eldreandel]]&lt;=G$434,G$434,IF(Tabell2[[#This Row],[Eldreandel]]&gt;=G$435,G$435,Tabell2[[#This Row],[Eldreandel]]))</f>
        <v>0.18425556189389619</v>
      </c>
      <c r="Q327" s="34">
        <f>IF(Tabell2[[#This Row],[Sysselsettingsvekst10]]&lt;=H$434,H$434,IF(Tabell2[[#This Row],[Sysselsettingsvekst10]]&gt;=H$435,H$435,Tabell2[[#This Row],[Sysselsettingsvekst10]]))</f>
        <v>-2.5520483546004002E-2</v>
      </c>
      <c r="R327" s="34">
        <f>IF(Tabell2[[#This Row],[Yrkesaktivandel]]&lt;=I$434,I$434,IF(Tabell2[[#This Row],[Yrkesaktivandel]]&gt;=I$435,I$435,Tabell2[[#This Row],[Yrkesaktivandel]]))</f>
        <v>0.89763779527559051</v>
      </c>
      <c r="S327" s="22">
        <f>IF(Tabell2[[#This Row],[Inntekt]]&lt;=J$434,J$434,IF(Tabell2[[#This Row],[Inntekt]]&gt;=J$435,J$435,Tabell2[[#This Row],[Inntekt]]))</f>
        <v>347200</v>
      </c>
      <c r="T327" s="22">
        <f>IF(Tabell2[[#This Row],[NIBR11-T]]&lt;=K$437,100,IF(Tabell2[[#This Row],[NIBR11-T]]&gt;=K$436,0,100*(K$436-Tabell2[[#This Row],[NIBR11-T]])/K$439))</f>
        <v>90</v>
      </c>
      <c r="U327" s="7">
        <f>IF(Tabell2[[#This Row],[ReisetidOslo-T]]&lt;=L$437,100,IF(Tabell2[[#This Row],[ReisetidOslo-T]]&gt;=L$436,0,100*(L$436-Tabell2[[#This Row],[ReisetidOslo-T]])/L$439))</f>
        <v>13.151005484484223</v>
      </c>
      <c r="V327" s="7">
        <f>100-(M$436-Tabell2[[#This Row],[Beftettotal-T]])*100/M$439</f>
        <v>5.2755486921904264</v>
      </c>
      <c r="W327" s="7">
        <f>100-(N$436-Tabell2[[#This Row],[Befvekst10-T]])*100/N$439</f>
        <v>30.449804517297721</v>
      </c>
      <c r="X327" s="7">
        <f>100-(O$436-Tabell2[[#This Row],[Kvinneandel-T]])*100/O$439</f>
        <v>53.317956720289978</v>
      </c>
      <c r="Y327" s="7">
        <f>(P$436-Tabell2[[#This Row],[Eldreandel-T]])*100/P$439</f>
        <v>33.014311351673292</v>
      </c>
      <c r="Z327" s="7">
        <f>100-(Q$436-Tabell2[[#This Row],[Sysselsettingsvekst10-T]])*100/Q$439</f>
        <v>13.155174766061748</v>
      </c>
      <c r="AA327" s="7">
        <f>100-(R$436-Tabell2[[#This Row],[Yrkesaktivandel-T]])*100/R$439</f>
        <v>50.487175185576135</v>
      </c>
      <c r="AB327" s="7">
        <f>100-(S$436-Tabell2[[#This Row],[Inntekt-T]])*100/S$439</f>
        <v>18.063617367076858</v>
      </c>
      <c r="AC327" s="55">
        <f>Tabell2[[#This Row],[NIBR11-I]]*Vekter!$B$3</f>
        <v>18</v>
      </c>
      <c r="AD327" s="55">
        <f>Tabell2[[#This Row],[ReisetidOslo-I]]*Vekter!$C$3</f>
        <v>1.3151005484484224</v>
      </c>
      <c r="AE327" s="55">
        <f>Tabell2[[#This Row],[Beftettotal-I]]*Vekter!$D$3</f>
        <v>0.52755486921904271</v>
      </c>
      <c r="AF327" s="55">
        <f>Tabell2[[#This Row],[Befvekst10-I]]*Vekter!$E$3</f>
        <v>6.089960903459545</v>
      </c>
      <c r="AG327" s="55">
        <f>Tabell2[[#This Row],[Kvinneandel-I]]*Vekter!$F$3</f>
        <v>2.6658978360144991</v>
      </c>
      <c r="AH327" s="55">
        <f>Tabell2[[#This Row],[Eldreandel-I]]*Vekter!$G$3</f>
        <v>1.6507155675836647</v>
      </c>
      <c r="AI327" s="55">
        <f>Tabell2[[#This Row],[Sysselsettingsvekst10-I]]*Vekter!$H$3</f>
        <v>1.3155174766061748</v>
      </c>
      <c r="AJ327" s="55">
        <f>Tabell2[[#This Row],[Yrkesaktivandel-I]]*Vekter!$J$3</f>
        <v>5.0487175185576136</v>
      </c>
      <c r="AK327" s="55">
        <f>Tabell2[[#This Row],[Inntekt-I]]*Vekter!$L$3</f>
        <v>1.8063617367076858</v>
      </c>
      <c r="AL327" s="56">
        <f>SUM(Tabell2[[#This Row],[NIBR11-v]:[Inntekt-v]])</f>
        <v>38.419826456596645</v>
      </c>
    </row>
    <row r="328" spans="1:38" x14ac:dyDescent="0.25">
      <c r="A328" s="2" t="s">
        <v>325</v>
      </c>
      <c r="B328">
        <f>'Rådata-K'!M327</f>
        <v>5</v>
      </c>
      <c r="C328" s="7">
        <f>'Rådata-K'!L327</f>
        <v>195.25</v>
      </c>
      <c r="D328" s="34">
        <f>'Rådata-K'!N327</f>
        <v>30.155313646851145</v>
      </c>
      <c r="E328" s="34">
        <f>'Rådata-K'!O327</f>
        <v>8.1828787289595084E-2</v>
      </c>
      <c r="F328" s="34">
        <f>'Rådata-K'!P327</f>
        <v>0.12354934784841327</v>
      </c>
      <c r="G328" s="34">
        <f>'Rådata-K'!Q327</f>
        <v>0.14660573071788024</v>
      </c>
      <c r="H328" s="34">
        <f>'Rådata-K'!R327</f>
        <v>8.3822007588823633E-2</v>
      </c>
      <c r="I328" s="34">
        <f>'Rådata-K'!S327</f>
        <v>0.87715075332085224</v>
      </c>
      <c r="J328" s="22">
        <f>'Rådata-K'!K327</f>
        <v>369900</v>
      </c>
      <c r="K328" s="22">
        <f>Tabell2[[#This Row],[NIBR11]]</f>
        <v>5</v>
      </c>
      <c r="L328" s="32">
        <f>IF(Tabell2[[#This Row],[ReisetidOslo]]&lt;=C$434,C$434,IF(Tabell2[[#This Row],[ReisetidOslo]]&gt;=C$435,C$435,Tabell2[[#This Row],[ReisetidOslo]]))</f>
        <v>195.25</v>
      </c>
      <c r="M328" s="32">
        <f>IF(Tabell2[[#This Row],[Beftettotal]]&lt;=D$434,D$434,IF(Tabell2[[#This Row],[Beftettotal]]&gt;=D$435,D$435,Tabell2[[#This Row],[Beftettotal]]))</f>
        <v>30.155313646851145</v>
      </c>
      <c r="N328" s="34">
        <f>IF(Tabell2[[#This Row],[Befvekst10]]&lt;=E$434,E$434,IF(Tabell2[[#This Row],[Befvekst10]]&gt;=E$435,E$435,Tabell2[[#This Row],[Befvekst10]]))</f>
        <v>8.1828787289595084E-2</v>
      </c>
      <c r="O328" s="34">
        <f>IF(Tabell2[[#This Row],[Kvinneandel]]&lt;=F$434,F$434,IF(Tabell2[[#This Row],[Kvinneandel]]&gt;=F$435,F$435,Tabell2[[#This Row],[Kvinneandel]]))</f>
        <v>0.12354934784841327</v>
      </c>
      <c r="P328" s="34">
        <f>IF(Tabell2[[#This Row],[Eldreandel]]&lt;=G$434,G$434,IF(Tabell2[[#This Row],[Eldreandel]]&gt;=G$435,G$435,Tabell2[[#This Row],[Eldreandel]]))</f>
        <v>0.14660573071788024</v>
      </c>
      <c r="Q328" s="34">
        <f>IF(Tabell2[[#This Row],[Sysselsettingsvekst10]]&lt;=H$434,H$434,IF(Tabell2[[#This Row],[Sysselsettingsvekst10]]&gt;=H$435,H$435,Tabell2[[#This Row],[Sysselsettingsvekst10]]))</f>
        <v>8.3822007588823633E-2</v>
      </c>
      <c r="R328" s="34">
        <f>IF(Tabell2[[#This Row],[Yrkesaktivandel]]&lt;=I$434,I$434,IF(Tabell2[[#This Row],[Yrkesaktivandel]]&gt;=I$435,I$435,Tabell2[[#This Row],[Yrkesaktivandel]]))</f>
        <v>0.87715075332085224</v>
      </c>
      <c r="S328" s="22">
        <f>IF(Tabell2[[#This Row],[Inntekt]]&lt;=J$434,J$434,IF(Tabell2[[#This Row],[Inntekt]]&gt;=J$435,J$435,Tabell2[[#This Row],[Inntekt]]))</f>
        <v>369900</v>
      </c>
      <c r="T328" s="22">
        <f>IF(Tabell2[[#This Row],[NIBR11-T]]&lt;=K$437,100,IF(Tabell2[[#This Row],[NIBR11-T]]&gt;=K$436,0,100*(K$436-Tabell2[[#This Row],[NIBR11-T]])/K$439))</f>
        <v>60</v>
      </c>
      <c r="U328" s="7">
        <f>IF(Tabell2[[#This Row],[ReisetidOslo-T]]&lt;=L$437,100,IF(Tabell2[[#This Row],[ReisetidOslo-T]]&gt;=L$436,0,100*(L$436-Tabell2[[#This Row],[ReisetidOslo-T]])/L$439))</f>
        <v>37.385009140774237</v>
      </c>
      <c r="V328" s="7">
        <f>100-(M$436-Tabell2[[#This Row],[Beftettotal-T]])*100/M$439</f>
        <v>22.298596629531247</v>
      </c>
      <c r="W328" s="7">
        <f>100-(N$436-Tabell2[[#This Row],[Befvekst10-T]])*100/N$439</f>
        <v>63.626618804416182</v>
      </c>
      <c r="X328" s="7">
        <f>100-(O$436-Tabell2[[#This Row],[Kvinneandel-T]])*100/O$439</f>
        <v>87.358193144302703</v>
      </c>
      <c r="Y328" s="7">
        <f>(P$436-Tabell2[[#This Row],[Eldreandel-T]])*100/P$439</f>
        <v>74.26918684231822</v>
      </c>
      <c r="Z328" s="7">
        <f>100-(Q$436-Tabell2[[#This Row],[Sysselsettingsvekst10-T]])*100/Q$439</f>
        <v>45.689038497580157</v>
      </c>
      <c r="AA328" s="7">
        <f>100-(R$436-Tabell2[[#This Row],[Yrkesaktivandel-T]])*100/R$439</f>
        <v>34.734857670870184</v>
      </c>
      <c r="AB328" s="7">
        <f>100-(S$436-Tabell2[[#This Row],[Inntekt-T]])*100/S$439</f>
        <v>44.416066867889484</v>
      </c>
      <c r="AC328" s="55">
        <f>Tabell2[[#This Row],[NIBR11-I]]*Vekter!$B$3</f>
        <v>12</v>
      </c>
      <c r="AD328" s="55">
        <f>Tabell2[[#This Row],[ReisetidOslo-I]]*Vekter!$C$3</f>
        <v>3.7385009140774237</v>
      </c>
      <c r="AE328" s="55">
        <f>Tabell2[[#This Row],[Beftettotal-I]]*Vekter!$D$3</f>
        <v>2.2298596629531247</v>
      </c>
      <c r="AF328" s="55">
        <f>Tabell2[[#This Row],[Befvekst10-I]]*Vekter!$E$3</f>
        <v>12.725323760883237</v>
      </c>
      <c r="AG328" s="55">
        <f>Tabell2[[#This Row],[Kvinneandel-I]]*Vekter!$F$3</f>
        <v>4.3679096572151357</v>
      </c>
      <c r="AH328" s="55">
        <f>Tabell2[[#This Row],[Eldreandel-I]]*Vekter!$G$3</f>
        <v>3.713459342115911</v>
      </c>
      <c r="AI328" s="55">
        <f>Tabell2[[#This Row],[Sysselsettingsvekst10-I]]*Vekter!$H$3</f>
        <v>4.5689038497580157</v>
      </c>
      <c r="AJ328" s="55">
        <f>Tabell2[[#This Row],[Yrkesaktivandel-I]]*Vekter!$J$3</f>
        <v>3.4734857670870185</v>
      </c>
      <c r="AK328" s="55">
        <f>Tabell2[[#This Row],[Inntekt-I]]*Vekter!$L$3</f>
        <v>4.4416066867889485</v>
      </c>
      <c r="AL328" s="56">
        <f>SUM(Tabell2[[#This Row],[NIBR11-v]:[Inntekt-v]])</f>
        <v>51.259049640878821</v>
      </c>
    </row>
    <row r="329" spans="1:38" x14ac:dyDescent="0.25">
      <c r="A329" s="2" t="s">
        <v>326</v>
      </c>
      <c r="B329">
        <f>'Rådata-K'!M328</f>
        <v>5</v>
      </c>
      <c r="C329" s="7">
        <f>'Rådata-K'!L328</f>
        <v>203.8166666667</v>
      </c>
      <c r="D329" s="34">
        <f>'Rådata-K'!N328</f>
        <v>9.5740210371155747</v>
      </c>
      <c r="E329" s="34">
        <f>'Rådata-K'!O328</f>
        <v>7.1950778139703297E-2</v>
      </c>
      <c r="F329" s="34">
        <f>'Rådata-K'!P328</f>
        <v>0.11533526909311904</v>
      </c>
      <c r="G329" s="34">
        <f>'Rådata-K'!Q328</f>
        <v>0.1509217367816868</v>
      </c>
      <c r="H329" s="34">
        <f>'Rådata-K'!R328</f>
        <v>0.17910447761194037</v>
      </c>
      <c r="I329" s="34">
        <f>'Rådata-K'!S328</f>
        <v>0.85335542667771336</v>
      </c>
      <c r="J329" s="22">
        <f>'Rådata-K'!K328</f>
        <v>352600</v>
      </c>
      <c r="K329" s="22">
        <f>Tabell2[[#This Row],[NIBR11]]</f>
        <v>5</v>
      </c>
      <c r="L329" s="32">
        <f>IF(Tabell2[[#This Row],[ReisetidOslo]]&lt;=C$434,C$434,IF(Tabell2[[#This Row],[ReisetidOslo]]&gt;=C$435,C$435,Tabell2[[#This Row],[ReisetidOslo]]))</f>
        <v>203.8166666667</v>
      </c>
      <c r="M329" s="32">
        <f>IF(Tabell2[[#This Row],[Beftettotal]]&lt;=D$434,D$434,IF(Tabell2[[#This Row],[Beftettotal]]&gt;=D$435,D$435,Tabell2[[#This Row],[Beftettotal]]))</f>
        <v>9.5740210371155747</v>
      </c>
      <c r="N329" s="34">
        <f>IF(Tabell2[[#This Row],[Befvekst10]]&lt;=E$434,E$434,IF(Tabell2[[#This Row],[Befvekst10]]&gt;=E$435,E$435,Tabell2[[#This Row],[Befvekst10]]))</f>
        <v>7.1950778139703297E-2</v>
      </c>
      <c r="O329" s="34">
        <f>IF(Tabell2[[#This Row],[Kvinneandel]]&lt;=F$434,F$434,IF(Tabell2[[#This Row],[Kvinneandel]]&gt;=F$435,F$435,Tabell2[[#This Row],[Kvinneandel]]))</f>
        <v>0.11533526909311904</v>
      </c>
      <c r="P329" s="34">
        <f>IF(Tabell2[[#This Row],[Eldreandel]]&lt;=G$434,G$434,IF(Tabell2[[#This Row],[Eldreandel]]&gt;=G$435,G$435,Tabell2[[#This Row],[Eldreandel]]))</f>
        <v>0.1509217367816868</v>
      </c>
      <c r="Q329" s="34">
        <f>IF(Tabell2[[#This Row],[Sysselsettingsvekst10]]&lt;=H$434,H$434,IF(Tabell2[[#This Row],[Sysselsettingsvekst10]]&gt;=H$435,H$435,Tabell2[[#This Row],[Sysselsettingsvekst10]]))</f>
        <v>0.17910447761194037</v>
      </c>
      <c r="R329" s="34">
        <f>IF(Tabell2[[#This Row],[Yrkesaktivandel]]&lt;=I$434,I$434,IF(Tabell2[[#This Row],[Yrkesaktivandel]]&gt;=I$435,I$435,Tabell2[[#This Row],[Yrkesaktivandel]]))</f>
        <v>0.85335542667771336</v>
      </c>
      <c r="S329" s="22">
        <f>IF(Tabell2[[#This Row],[Inntekt]]&lt;=J$434,J$434,IF(Tabell2[[#This Row],[Inntekt]]&gt;=J$435,J$435,Tabell2[[#This Row],[Inntekt]]))</f>
        <v>352600</v>
      </c>
      <c r="T329" s="22">
        <f>IF(Tabell2[[#This Row],[NIBR11-T]]&lt;=K$437,100,IF(Tabell2[[#This Row],[NIBR11-T]]&gt;=K$436,0,100*(K$436-Tabell2[[#This Row],[NIBR11-T]])/K$439))</f>
        <v>60</v>
      </c>
      <c r="U329" s="7">
        <f>IF(Tabell2[[#This Row],[ReisetidOslo-T]]&lt;=L$437,100,IF(Tabell2[[#This Row],[ReisetidOslo-T]]&gt;=L$436,0,100*(L$436-Tabell2[[#This Row],[ReisetidOslo-T]])/L$439))</f>
        <v>33.626325411326725</v>
      </c>
      <c r="V329" s="7">
        <f>100-(M$436-Tabell2[[#This Row],[Beftettotal-T]])*100/M$439</f>
        <v>6.3775100592606719</v>
      </c>
      <c r="W329" s="7">
        <f>100-(N$436-Tabell2[[#This Row],[Befvekst10-T]])*100/N$439</f>
        <v>59.649371237846644</v>
      </c>
      <c r="X329" s="7">
        <f>100-(O$436-Tabell2[[#This Row],[Kvinneandel-T]])*100/O$439</f>
        <v>65.652642246025835</v>
      </c>
      <c r="Y329" s="7">
        <f>(P$436-Tabell2[[#This Row],[Eldreandel-T]])*100/P$439</f>
        <v>69.539914831860045</v>
      </c>
      <c r="Z329" s="7">
        <f>100-(Q$436-Tabell2[[#This Row],[Sysselsettingsvekst10-T]])*100/Q$439</f>
        <v>74.039470827790609</v>
      </c>
      <c r="AA329" s="7">
        <f>100-(R$436-Tabell2[[#This Row],[Yrkesaktivandel-T]])*100/R$439</f>
        <v>16.438827356831894</v>
      </c>
      <c r="AB329" s="7">
        <f>100-(S$436-Tabell2[[#This Row],[Inntekt-T]])*100/S$439</f>
        <v>24.332482006036685</v>
      </c>
      <c r="AC329" s="55">
        <f>Tabell2[[#This Row],[NIBR11-I]]*Vekter!$B$3</f>
        <v>12</v>
      </c>
      <c r="AD329" s="55">
        <f>Tabell2[[#This Row],[ReisetidOslo-I]]*Vekter!$C$3</f>
        <v>3.3626325411326725</v>
      </c>
      <c r="AE329" s="55">
        <f>Tabell2[[#This Row],[Beftettotal-I]]*Vekter!$D$3</f>
        <v>0.63775100592606726</v>
      </c>
      <c r="AF329" s="55">
        <f>Tabell2[[#This Row],[Befvekst10-I]]*Vekter!$E$3</f>
        <v>11.92987424756933</v>
      </c>
      <c r="AG329" s="55">
        <f>Tabell2[[#This Row],[Kvinneandel-I]]*Vekter!$F$3</f>
        <v>3.2826321123012918</v>
      </c>
      <c r="AH329" s="55">
        <f>Tabell2[[#This Row],[Eldreandel-I]]*Vekter!$G$3</f>
        <v>3.4769957415930026</v>
      </c>
      <c r="AI329" s="55">
        <f>Tabell2[[#This Row],[Sysselsettingsvekst10-I]]*Vekter!$H$3</f>
        <v>7.4039470827790614</v>
      </c>
      <c r="AJ329" s="55">
        <f>Tabell2[[#This Row],[Yrkesaktivandel-I]]*Vekter!$J$3</f>
        <v>1.6438827356831895</v>
      </c>
      <c r="AK329" s="55">
        <f>Tabell2[[#This Row],[Inntekt-I]]*Vekter!$L$3</f>
        <v>2.4332482006036686</v>
      </c>
      <c r="AL329" s="56">
        <f>SUM(Tabell2[[#This Row],[NIBR11-v]:[Inntekt-v]])</f>
        <v>46.170963667588289</v>
      </c>
    </row>
    <row r="330" spans="1:38" x14ac:dyDescent="0.25">
      <c r="A330" s="2" t="s">
        <v>327</v>
      </c>
      <c r="B330">
        <f>'Rådata-K'!M329</f>
        <v>6</v>
      </c>
      <c r="C330" s="7">
        <f>'Rådata-K'!L329</f>
        <v>253.9</v>
      </c>
      <c r="D330" s="34">
        <f>'Rådata-K'!N329</f>
        <v>4.2332879034670743</v>
      </c>
      <c r="E330" s="34">
        <f>'Rådata-K'!O329</f>
        <v>-4.6067415730337125E-2</v>
      </c>
      <c r="F330" s="34">
        <f>'Rådata-K'!P329</f>
        <v>9.2658029053788768E-2</v>
      </c>
      <c r="G330" s="34">
        <f>'Rådata-K'!Q329</f>
        <v>0.20691009030231644</v>
      </c>
      <c r="H330" s="34">
        <f>'Rådata-K'!R329</f>
        <v>0.10514541387024612</v>
      </c>
      <c r="I330" s="34">
        <f>'Rådata-K'!S329</f>
        <v>0.76624293785310738</v>
      </c>
      <c r="J330" s="22">
        <f>'Rådata-K'!K329</f>
        <v>310400</v>
      </c>
      <c r="K330" s="22">
        <f>Tabell2[[#This Row],[NIBR11]]</f>
        <v>6</v>
      </c>
      <c r="L330" s="32">
        <f>IF(Tabell2[[#This Row],[ReisetidOslo]]&lt;=C$434,C$434,IF(Tabell2[[#This Row],[ReisetidOslo]]&gt;=C$435,C$435,Tabell2[[#This Row],[ReisetidOslo]]))</f>
        <v>253.9</v>
      </c>
      <c r="M330" s="32">
        <f>IF(Tabell2[[#This Row],[Beftettotal]]&lt;=D$434,D$434,IF(Tabell2[[#This Row],[Beftettotal]]&gt;=D$435,D$435,Tabell2[[#This Row],[Beftettotal]]))</f>
        <v>4.2332879034670743</v>
      </c>
      <c r="N330" s="34">
        <f>IF(Tabell2[[#This Row],[Befvekst10]]&lt;=E$434,E$434,IF(Tabell2[[#This Row],[Befvekst10]]&gt;=E$435,E$435,Tabell2[[#This Row],[Befvekst10]]))</f>
        <v>-4.6067415730337125E-2</v>
      </c>
      <c r="O330" s="34">
        <f>IF(Tabell2[[#This Row],[Kvinneandel]]&lt;=F$434,F$434,IF(Tabell2[[#This Row],[Kvinneandel]]&gt;=F$435,F$435,Tabell2[[#This Row],[Kvinneandel]]))</f>
        <v>9.2658029053788768E-2</v>
      </c>
      <c r="P330" s="34">
        <f>IF(Tabell2[[#This Row],[Eldreandel]]&lt;=G$434,G$434,IF(Tabell2[[#This Row],[Eldreandel]]&gt;=G$435,G$435,Tabell2[[#This Row],[Eldreandel]]))</f>
        <v>0.20691009030231644</v>
      </c>
      <c r="Q330" s="34">
        <f>IF(Tabell2[[#This Row],[Sysselsettingsvekst10]]&lt;=H$434,H$434,IF(Tabell2[[#This Row],[Sysselsettingsvekst10]]&gt;=H$435,H$435,Tabell2[[#This Row],[Sysselsettingsvekst10]]))</f>
        <v>0.10514541387024612</v>
      </c>
      <c r="R330" s="34">
        <f>IF(Tabell2[[#This Row],[Yrkesaktivandel]]&lt;=I$434,I$434,IF(Tabell2[[#This Row],[Yrkesaktivandel]]&gt;=I$435,I$435,Tabell2[[#This Row],[Yrkesaktivandel]]))</f>
        <v>0.83197552842263423</v>
      </c>
      <c r="S330" s="22">
        <f>IF(Tabell2[[#This Row],[Inntekt]]&lt;=J$434,J$434,IF(Tabell2[[#This Row],[Inntekt]]&gt;=J$435,J$435,Tabell2[[#This Row],[Inntekt]]))</f>
        <v>331640</v>
      </c>
      <c r="T330" s="22">
        <f>IF(Tabell2[[#This Row],[NIBR11-T]]&lt;=K$437,100,IF(Tabell2[[#This Row],[NIBR11-T]]&gt;=K$436,0,100*(K$436-Tabell2[[#This Row],[NIBR11-T]])/K$439))</f>
        <v>50</v>
      </c>
      <c r="U330" s="7">
        <f>IF(Tabell2[[#This Row],[ReisetidOslo-T]]&lt;=L$437,100,IF(Tabell2[[#This Row],[ReisetidOslo-T]]&gt;=L$436,0,100*(L$436-Tabell2[[#This Row],[ReisetidOslo-T]])/L$439))</f>
        <v>11.651919561252191</v>
      </c>
      <c r="V330" s="7">
        <f>100-(M$436-Tabell2[[#This Row],[Beftettotal-T]])*100/M$439</f>
        <v>2.2460749651739036</v>
      </c>
      <c r="W330" s="7">
        <f>100-(N$436-Tabell2[[#This Row],[Befvekst10-T]])*100/N$439</f>
        <v>12.130932323898776</v>
      </c>
      <c r="X330" s="7">
        <f>100-(O$436-Tabell2[[#This Row],[Kvinneandel-T]])*100/O$439</f>
        <v>5.7284556671142042</v>
      </c>
      <c r="Y330" s="7">
        <f>(P$436-Tabell2[[#This Row],[Eldreandel-T]])*100/P$439</f>
        <v>8.1905679351548724</v>
      </c>
      <c r="Z330" s="7">
        <f>100-(Q$436-Tabell2[[#This Row],[Sysselsettingsvekst10-T]])*100/Q$439</f>
        <v>52.033624093276678</v>
      </c>
      <c r="AA330" s="7">
        <f>100-(R$436-Tabell2[[#This Row],[Yrkesaktivandel-T]])*100/R$439</f>
        <v>0</v>
      </c>
      <c r="AB330" s="7">
        <f>100-(S$436-Tabell2[[#This Row],[Inntekt-T]])*100/S$439</f>
        <v>0</v>
      </c>
      <c r="AC330" s="55">
        <f>Tabell2[[#This Row],[NIBR11-I]]*Vekter!$B$3</f>
        <v>10</v>
      </c>
      <c r="AD330" s="55">
        <f>Tabell2[[#This Row],[ReisetidOslo-I]]*Vekter!$C$3</f>
        <v>1.1651919561252191</v>
      </c>
      <c r="AE330" s="55">
        <f>Tabell2[[#This Row],[Beftettotal-I]]*Vekter!$D$3</f>
        <v>0.22460749651739037</v>
      </c>
      <c r="AF330" s="55">
        <f>Tabell2[[#This Row],[Befvekst10-I]]*Vekter!$E$3</f>
        <v>2.4261864647797555</v>
      </c>
      <c r="AG330" s="55">
        <f>Tabell2[[#This Row],[Kvinneandel-I]]*Vekter!$F$3</f>
        <v>0.2864227833557102</v>
      </c>
      <c r="AH330" s="55">
        <f>Tabell2[[#This Row],[Eldreandel-I]]*Vekter!$G$3</f>
        <v>0.40952839675774366</v>
      </c>
      <c r="AI330" s="55">
        <f>Tabell2[[#This Row],[Sysselsettingsvekst10-I]]*Vekter!$H$3</f>
        <v>5.203362409327668</v>
      </c>
      <c r="AJ330" s="55">
        <f>Tabell2[[#This Row],[Yrkesaktivandel-I]]*Vekter!$J$3</f>
        <v>0</v>
      </c>
      <c r="AK330" s="55">
        <f>Tabell2[[#This Row],[Inntekt-I]]*Vekter!$L$3</f>
        <v>0</v>
      </c>
      <c r="AL330" s="56">
        <f>SUM(Tabell2[[#This Row],[NIBR11-v]:[Inntekt-v]])</f>
        <v>19.715299506863488</v>
      </c>
    </row>
    <row r="331" spans="1:38" x14ac:dyDescent="0.25">
      <c r="A331" s="2" t="s">
        <v>328</v>
      </c>
      <c r="B331">
        <f>'Rådata-K'!M330</f>
        <v>6</v>
      </c>
      <c r="C331" s="7">
        <f>'Rådata-K'!L330</f>
        <v>243.3</v>
      </c>
      <c r="D331" s="34">
        <f>'Rådata-K'!N330</f>
        <v>2.1363411908412817</v>
      </c>
      <c r="E331" s="34">
        <f>'Rådata-K'!O330</f>
        <v>-7.6923076923076872E-2</v>
      </c>
      <c r="F331" s="34">
        <f>'Rådata-K'!P330</f>
        <v>9.1240875912408759E-2</v>
      </c>
      <c r="G331" s="34">
        <f>'Rådata-K'!Q330</f>
        <v>0.19464720194647203</v>
      </c>
      <c r="H331" s="34">
        <f>'Rådata-K'!R330</f>
        <v>-0.11396011396011396</v>
      </c>
      <c r="I331" s="34">
        <f>'Rådata-K'!S330</f>
        <v>0.9252232142857143</v>
      </c>
      <c r="J331" s="22">
        <f>'Rådata-K'!K330</f>
        <v>339300</v>
      </c>
      <c r="K331" s="22">
        <f>Tabell2[[#This Row],[NIBR11]]</f>
        <v>6</v>
      </c>
      <c r="L331" s="32">
        <f>IF(Tabell2[[#This Row],[ReisetidOslo]]&lt;=C$434,C$434,IF(Tabell2[[#This Row],[ReisetidOslo]]&gt;=C$435,C$435,Tabell2[[#This Row],[ReisetidOslo]]))</f>
        <v>243.3</v>
      </c>
      <c r="M331" s="32">
        <f>IF(Tabell2[[#This Row],[Beftettotal]]&lt;=D$434,D$434,IF(Tabell2[[#This Row],[Beftettotal]]&gt;=D$435,D$435,Tabell2[[#This Row],[Beftettotal]]))</f>
        <v>2.1363411908412817</v>
      </c>
      <c r="N331" s="34">
        <f>IF(Tabell2[[#This Row],[Befvekst10]]&lt;=E$434,E$434,IF(Tabell2[[#This Row],[Befvekst10]]&gt;=E$435,E$435,Tabell2[[#This Row],[Befvekst10]]))</f>
        <v>-7.6196156394963507E-2</v>
      </c>
      <c r="O331" s="34">
        <f>IF(Tabell2[[#This Row],[Kvinneandel]]&lt;=F$434,F$434,IF(Tabell2[[#This Row],[Kvinneandel]]&gt;=F$435,F$435,Tabell2[[#This Row],[Kvinneandel]]))</f>
        <v>9.1240875912408759E-2</v>
      </c>
      <c r="P331" s="34">
        <f>IF(Tabell2[[#This Row],[Eldreandel]]&lt;=G$434,G$434,IF(Tabell2[[#This Row],[Eldreandel]]&gt;=G$435,G$435,Tabell2[[#This Row],[Eldreandel]]))</f>
        <v>0.19464720194647203</v>
      </c>
      <c r="Q331" s="34">
        <f>IF(Tabell2[[#This Row],[Sysselsettingsvekst10]]&lt;=H$434,H$434,IF(Tabell2[[#This Row],[Sysselsettingsvekst10]]&gt;=H$435,H$435,Tabell2[[#This Row],[Sysselsettingsvekst10]]))</f>
        <v>-6.9733479337269061E-2</v>
      </c>
      <c r="R331" s="34">
        <f>IF(Tabell2[[#This Row],[Yrkesaktivandel]]&lt;=I$434,I$434,IF(Tabell2[[#This Row],[Yrkesaktivandel]]&gt;=I$435,I$435,Tabell2[[#This Row],[Yrkesaktivandel]]))</f>
        <v>0.9252232142857143</v>
      </c>
      <c r="S331" s="22">
        <f>IF(Tabell2[[#This Row],[Inntekt]]&lt;=J$434,J$434,IF(Tabell2[[#This Row],[Inntekt]]&gt;=J$435,J$435,Tabell2[[#This Row],[Inntekt]]))</f>
        <v>339300</v>
      </c>
      <c r="T331" s="22">
        <f>IF(Tabell2[[#This Row],[NIBR11-T]]&lt;=K$437,100,IF(Tabell2[[#This Row],[NIBR11-T]]&gt;=K$436,0,100*(K$436-Tabell2[[#This Row],[NIBR11-T]])/K$439))</f>
        <v>50</v>
      </c>
      <c r="U331" s="7">
        <f>IF(Tabell2[[#This Row],[ReisetidOslo-T]]&lt;=L$437,100,IF(Tabell2[[#This Row],[ReisetidOslo-T]]&gt;=L$436,0,100*(L$436-Tabell2[[#This Row],[ReisetidOslo-T]])/L$439))</f>
        <v>16.302742230355914</v>
      </c>
      <c r="V331" s="7">
        <f>100-(M$436-Tabell2[[#This Row],[Beftettotal-T]])*100/M$439</f>
        <v>0.62393826180829137</v>
      </c>
      <c r="W331" s="7">
        <f>100-(N$436-Tabell2[[#This Row],[Befvekst10-T]])*100/N$439</f>
        <v>0</v>
      </c>
      <c r="X331" s="7">
        <f>100-(O$436-Tabell2[[#This Row],[Kvinneandel-T]])*100/O$439</f>
        <v>1.9836547518501533</v>
      </c>
      <c r="Y331" s="7">
        <f>(P$436-Tabell2[[#This Row],[Eldreandel-T]])*100/P$439</f>
        <v>21.627651621158659</v>
      </c>
      <c r="Z331" s="7">
        <f>100-(Q$436-Tabell2[[#This Row],[Sysselsettingsvekst10-T]])*100/Q$439</f>
        <v>0</v>
      </c>
      <c r="AA331" s="7">
        <f>100-(R$436-Tabell2[[#This Row],[Yrkesaktivandel-T]])*100/R$439</f>
        <v>71.697376247480818</v>
      </c>
      <c r="AB331" s="7">
        <f>100-(S$436-Tabell2[[#This Row],[Inntekt-T]])*100/S$439</f>
        <v>8.8925005804504309</v>
      </c>
      <c r="AC331" s="55">
        <f>Tabell2[[#This Row],[NIBR11-I]]*Vekter!$B$3</f>
        <v>10</v>
      </c>
      <c r="AD331" s="55">
        <f>Tabell2[[#This Row],[ReisetidOslo-I]]*Vekter!$C$3</f>
        <v>1.6302742230355916</v>
      </c>
      <c r="AE331" s="55">
        <f>Tabell2[[#This Row],[Beftettotal-I]]*Vekter!$D$3</f>
        <v>6.2393826180829143E-2</v>
      </c>
      <c r="AF331" s="55">
        <f>Tabell2[[#This Row],[Befvekst10-I]]*Vekter!$E$3</f>
        <v>0</v>
      </c>
      <c r="AG331" s="55">
        <f>Tabell2[[#This Row],[Kvinneandel-I]]*Vekter!$F$3</f>
        <v>9.9182737592507675E-2</v>
      </c>
      <c r="AH331" s="55">
        <f>Tabell2[[#This Row],[Eldreandel-I]]*Vekter!$G$3</f>
        <v>1.0813825810579329</v>
      </c>
      <c r="AI331" s="55">
        <f>Tabell2[[#This Row],[Sysselsettingsvekst10-I]]*Vekter!$H$3</f>
        <v>0</v>
      </c>
      <c r="AJ331" s="55">
        <f>Tabell2[[#This Row],[Yrkesaktivandel-I]]*Vekter!$J$3</f>
        <v>7.1697376247480822</v>
      </c>
      <c r="AK331" s="55">
        <f>Tabell2[[#This Row],[Inntekt-I]]*Vekter!$L$3</f>
        <v>0.88925005804504309</v>
      </c>
      <c r="AL331" s="56">
        <f>SUM(Tabell2[[#This Row],[NIBR11-v]:[Inntekt-v]])</f>
        <v>20.932221050659983</v>
      </c>
    </row>
    <row r="332" spans="1:38" x14ac:dyDescent="0.25">
      <c r="A332" s="2" t="s">
        <v>329</v>
      </c>
      <c r="B332">
        <f>'Rådata-K'!M331</f>
        <v>6</v>
      </c>
      <c r="C332" s="7">
        <f>'Rådata-K'!L331</f>
        <v>267.75</v>
      </c>
      <c r="D332" s="34">
        <f>'Rådata-K'!N331</f>
        <v>0.91904074855079254</v>
      </c>
      <c r="E332" s="34">
        <f>'Rådata-K'!O331</f>
        <v>-4.7345132743362828E-2</v>
      </c>
      <c r="F332" s="34">
        <f>'Rådata-K'!P331</f>
        <v>9.4287041337668367E-2</v>
      </c>
      <c r="G332" s="34">
        <f>'Rådata-K'!Q331</f>
        <v>0.20436600092893636</v>
      </c>
      <c r="H332" s="34">
        <f>'Rådata-K'!R331</f>
        <v>-9.5482546201232088E-2</v>
      </c>
      <c r="I332" s="34">
        <f>'Rådata-K'!S331</f>
        <v>0.95320623916811087</v>
      </c>
      <c r="J332" s="22">
        <f>'Rådata-K'!K331</f>
        <v>341400</v>
      </c>
      <c r="K332" s="22">
        <f>Tabell2[[#This Row],[NIBR11]]</f>
        <v>6</v>
      </c>
      <c r="L332" s="32">
        <f>IF(Tabell2[[#This Row],[ReisetidOslo]]&lt;=C$434,C$434,IF(Tabell2[[#This Row],[ReisetidOslo]]&gt;=C$435,C$435,Tabell2[[#This Row],[ReisetidOslo]]))</f>
        <v>267.75</v>
      </c>
      <c r="M332" s="32">
        <f>IF(Tabell2[[#This Row],[Beftettotal]]&lt;=D$434,D$434,IF(Tabell2[[#This Row],[Beftettotal]]&gt;=D$435,D$435,Tabell2[[#This Row],[Beftettotal]]))</f>
        <v>1.3297721240876861</v>
      </c>
      <c r="N332" s="34">
        <f>IF(Tabell2[[#This Row],[Befvekst10]]&lt;=E$434,E$434,IF(Tabell2[[#This Row],[Befvekst10]]&gt;=E$435,E$435,Tabell2[[#This Row],[Befvekst10]]))</f>
        <v>-4.7345132743362828E-2</v>
      </c>
      <c r="O332" s="34">
        <f>IF(Tabell2[[#This Row],[Kvinneandel]]&lt;=F$434,F$434,IF(Tabell2[[#This Row],[Kvinneandel]]&gt;=F$435,F$435,Tabell2[[#This Row],[Kvinneandel]]))</f>
        <v>9.4287041337668367E-2</v>
      </c>
      <c r="P332" s="34">
        <f>IF(Tabell2[[#This Row],[Eldreandel]]&lt;=G$434,G$434,IF(Tabell2[[#This Row],[Eldreandel]]&gt;=G$435,G$435,Tabell2[[#This Row],[Eldreandel]]))</f>
        <v>0.20436600092893636</v>
      </c>
      <c r="Q332" s="34">
        <f>IF(Tabell2[[#This Row],[Sysselsettingsvekst10]]&lt;=H$434,H$434,IF(Tabell2[[#This Row],[Sysselsettingsvekst10]]&gt;=H$435,H$435,Tabell2[[#This Row],[Sysselsettingsvekst10]]))</f>
        <v>-6.9733479337269061E-2</v>
      </c>
      <c r="R332" s="34">
        <f>IF(Tabell2[[#This Row],[Yrkesaktivandel]]&lt;=I$434,I$434,IF(Tabell2[[#This Row],[Yrkesaktivandel]]&gt;=I$435,I$435,Tabell2[[#This Row],[Yrkesaktivandel]]))</f>
        <v>0.95320623916811087</v>
      </c>
      <c r="S332" s="22">
        <f>IF(Tabell2[[#This Row],[Inntekt]]&lt;=J$434,J$434,IF(Tabell2[[#This Row],[Inntekt]]&gt;=J$435,J$435,Tabell2[[#This Row],[Inntekt]]))</f>
        <v>341400</v>
      </c>
      <c r="T332" s="22">
        <f>IF(Tabell2[[#This Row],[NIBR11-T]]&lt;=K$437,100,IF(Tabell2[[#This Row],[NIBR11-T]]&gt;=K$436,0,100*(K$436-Tabell2[[#This Row],[NIBR11-T]])/K$439))</f>
        <v>50</v>
      </c>
      <c r="U332" s="7">
        <f>IF(Tabell2[[#This Row],[ReisetidOslo-T]]&lt;=L$437,100,IF(Tabell2[[#This Row],[ReisetidOslo-T]]&gt;=L$436,0,100*(L$436-Tabell2[[#This Row],[ReisetidOslo-T]])/L$439))</f>
        <v>5.5751371115270389</v>
      </c>
      <c r="V332" s="7">
        <f>100-(M$436-Tabell2[[#This Row],[Beftettotal-T]])*100/M$439</f>
        <v>0</v>
      </c>
      <c r="W332" s="7">
        <f>100-(N$436-Tabell2[[#This Row],[Befvekst10-T]])*100/N$439</f>
        <v>11.616476748518323</v>
      </c>
      <c r="X332" s="7">
        <f>100-(O$436-Tabell2[[#This Row],[Kvinneandel-T]])*100/O$439</f>
        <v>10.033090440536256</v>
      </c>
      <c r="Y332" s="7">
        <f>(P$436-Tabell2[[#This Row],[Eldreandel-T]])*100/P$439</f>
        <v>10.978258797437626</v>
      </c>
      <c r="Z332" s="7">
        <f>100-(Q$436-Tabell2[[#This Row],[Sysselsettingsvekst10-T]])*100/Q$439</f>
        <v>0</v>
      </c>
      <c r="AA332" s="7">
        <f>100-(R$436-Tabell2[[#This Row],[Yrkesaktivandel-T]])*100/R$439</f>
        <v>93.213293183819189</v>
      </c>
      <c r="AB332" s="7">
        <f>100-(S$436-Tabell2[[#This Row],[Inntekt-T]])*100/S$439</f>
        <v>11.330392384490366</v>
      </c>
      <c r="AC332" s="55">
        <f>Tabell2[[#This Row],[NIBR11-I]]*Vekter!$B$3</f>
        <v>10</v>
      </c>
      <c r="AD332" s="55">
        <f>Tabell2[[#This Row],[ReisetidOslo-I]]*Vekter!$C$3</f>
        <v>0.55751371115270387</v>
      </c>
      <c r="AE332" s="55">
        <f>Tabell2[[#This Row],[Beftettotal-I]]*Vekter!$D$3</f>
        <v>0</v>
      </c>
      <c r="AF332" s="55">
        <f>Tabell2[[#This Row],[Befvekst10-I]]*Vekter!$E$3</f>
        <v>2.3232953497036646</v>
      </c>
      <c r="AG332" s="55">
        <f>Tabell2[[#This Row],[Kvinneandel-I]]*Vekter!$F$3</f>
        <v>0.50165452202681282</v>
      </c>
      <c r="AH332" s="55">
        <f>Tabell2[[#This Row],[Eldreandel-I]]*Vekter!$G$3</f>
        <v>0.54891293987188128</v>
      </c>
      <c r="AI332" s="55">
        <f>Tabell2[[#This Row],[Sysselsettingsvekst10-I]]*Vekter!$H$3</f>
        <v>0</v>
      </c>
      <c r="AJ332" s="55">
        <f>Tabell2[[#This Row],[Yrkesaktivandel-I]]*Vekter!$J$3</f>
        <v>9.3213293183819186</v>
      </c>
      <c r="AK332" s="55">
        <f>Tabell2[[#This Row],[Inntekt-I]]*Vekter!$L$3</f>
        <v>1.1330392384490366</v>
      </c>
      <c r="AL332" s="56">
        <f>SUM(Tabell2[[#This Row],[NIBR11-v]:[Inntekt-v]])</f>
        <v>24.385745079586016</v>
      </c>
    </row>
    <row r="333" spans="1:38" x14ac:dyDescent="0.25">
      <c r="A333" s="2" t="s">
        <v>330</v>
      </c>
      <c r="B333">
        <f>'Rådata-K'!M332</f>
        <v>11</v>
      </c>
      <c r="C333" s="7">
        <f>'Rådata-K'!L332</f>
        <v>303.8333333333</v>
      </c>
      <c r="D333" s="34">
        <f>'Rådata-K'!N332</f>
        <v>0.47067562548536318</v>
      </c>
      <c r="E333" s="34">
        <f>'Rådata-K'!O332</f>
        <v>-7.6209410205434036E-2</v>
      </c>
      <c r="F333" s="34">
        <f>'Rådata-K'!P332</f>
        <v>9.4691535150645628E-2</v>
      </c>
      <c r="G333" s="34">
        <f>'Rådata-K'!Q332</f>
        <v>0.20588235294117646</v>
      </c>
      <c r="H333" s="34">
        <f>'Rådata-K'!R332</f>
        <v>-6.5693430656934337E-2</v>
      </c>
      <c r="I333" s="34">
        <f>'Rådata-K'!S332</f>
        <v>1.0093708165997322</v>
      </c>
      <c r="J333" s="22">
        <f>'Rådata-K'!K332</f>
        <v>357200</v>
      </c>
      <c r="K333" s="22">
        <f>Tabell2[[#This Row],[NIBR11]]</f>
        <v>11</v>
      </c>
      <c r="L333" s="32">
        <f>IF(Tabell2[[#This Row],[ReisetidOslo]]&lt;=C$434,C$434,IF(Tabell2[[#This Row],[ReisetidOslo]]&gt;=C$435,C$435,Tabell2[[#This Row],[ReisetidOslo]]))</f>
        <v>280.45666666669001</v>
      </c>
      <c r="M333" s="32">
        <f>IF(Tabell2[[#This Row],[Beftettotal]]&lt;=D$434,D$434,IF(Tabell2[[#This Row],[Beftettotal]]&gt;=D$435,D$435,Tabell2[[#This Row],[Beftettotal]]))</f>
        <v>1.3297721240876861</v>
      </c>
      <c r="N333" s="34">
        <f>IF(Tabell2[[#This Row],[Befvekst10]]&lt;=E$434,E$434,IF(Tabell2[[#This Row],[Befvekst10]]&gt;=E$435,E$435,Tabell2[[#This Row],[Befvekst10]]))</f>
        <v>-7.6196156394963507E-2</v>
      </c>
      <c r="O333" s="34">
        <f>IF(Tabell2[[#This Row],[Kvinneandel]]&lt;=F$434,F$434,IF(Tabell2[[#This Row],[Kvinneandel]]&gt;=F$435,F$435,Tabell2[[#This Row],[Kvinneandel]]))</f>
        <v>9.4691535150645628E-2</v>
      </c>
      <c r="P333" s="34">
        <f>IF(Tabell2[[#This Row],[Eldreandel]]&lt;=G$434,G$434,IF(Tabell2[[#This Row],[Eldreandel]]&gt;=G$435,G$435,Tabell2[[#This Row],[Eldreandel]]))</f>
        <v>0.20588235294117646</v>
      </c>
      <c r="Q333" s="34">
        <f>IF(Tabell2[[#This Row],[Sysselsettingsvekst10]]&lt;=H$434,H$434,IF(Tabell2[[#This Row],[Sysselsettingsvekst10]]&gt;=H$435,H$435,Tabell2[[#This Row],[Sysselsettingsvekst10]]))</f>
        <v>-6.5693430656934337E-2</v>
      </c>
      <c r="R333" s="34">
        <f>IF(Tabell2[[#This Row],[Yrkesaktivandel]]&lt;=I$434,I$434,IF(Tabell2[[#This Row],[Yrkesaktivandel]]&gt;=I$435,I$435,Tabell2[[#This Row],[Yrkesaktivandel]]))</f>
        <v>0.96203284815106216</v>
      </c>
      <c r="S333" s="22">
        <f>IF(Tabell2[[#This Row],[Inntekt]]&lt;=J$434,J$434,IF(Tabell2[[#This Row],[Inntekt]]&gt;=J$435,J$435,Tabell2[[#This Row],[Inntekt]]))</f>
        <v>357200</v>
      </c>
      <c r="T333" s="22">
        <f>IF(Tabell2[[#This Row],[NIBR11-T]]&lt;=K$437,100,IF(Tabell2[[#This Row],[NIBR11-T]]&gt;=K$436,0,100*(K$436-Tabell2[[#This Row],[NIBR11-T]])/K$439))</f>
        <v>0</v>
      </c>
      <c r="U333" s="7">
        <f>IF(Tabell2[[#This Row],[ReisetidOslo-T]]&lt;=L$437,100,IF(Tabell2[[#This Row],[ReisetidOslo-T]]&gt;=L$436,0,100*(L$436-Tabell2[[#This Row],[ReisetidOslo-T]])/L$439))</f>
        <v>0</v>
      </c>
      <c r="V333" s="7">
        <f>100-(M$436-Tabell2[[#This Row],[Beftettotal-T]])*100/M$439</f>
        <v>0</v>
      </c>
      <c r="W333" s="7">
        <f>100-(N$436-Tabell2[[#This Row],[Befvekst10-T]])*100/N$439</f>
        <v>0</v>
      </c>
      <c r="X333" s="7">
        <f>100-(O$436-Tabell2[[#This Row],[Kvinneandel-T]])*100/O$439</f>
        <v>11.101957845777193</v>
      </c>
      <c r="Y333" s="7">
        <f>(P$436-Tabell2[[#This Row],[Eldreandel-T]])*100/P$439</f>
        <v>9.316713140765339</v>
      </c>
      <c r="Z333" s="7">
        <f>100-(Q$436-Tabell2[[#This Row],[Sysselsettingsvekst10-T]])*100/Q$439</f>
        <v>1.2020797392720652</v>
      </c>
      <c r="AA333" s="7">
        <f>100-(R$436-Tabell2[[#This Row],[Yrkesaktivandel-T]])*100/R$439</f>
        <v>100</v>
      </c>
      <c r="AB333" s="7">
        <f>100-(S$436-Tabell2[[#This Row],[Inntekt-T]])*100/S$439</f>
        <v>29.672625957743207</v>
      </c>
      <c r="AC333" s="55">
        <f>Tabell2[[#This Row],[NIBR11-I]]*Vekter!$B$3</f>
        <v>0</v>
      </c>
      <c r="AD333" s="55">
        <f>Tabell2[[#This Row],[ReisetidOslo-I]]*Vekter!$C$3</f>
        <v>0</v>
      </c>
      <c r="AE333" s="55">
        <f>Tabell2[[#This Row],[Beftettotal-I]]*Vekter!$D$3</f>
        <v>0</v>
      </c>
      <c r="AF333" s="55">
        <f>Tabell2[[#This Row],[Befvekst10-I]]*Vekter!$E$3</f>
        <v>0</v>
      </c>
      <c r="AG333" s="55">
        <f>Tabell2[[#This Row],[Kvinneandel-I]]*Vekter!$F$3</f>
        <v>0.55509789228885964</v>
      </c>
      <c r="AH333" s="55">
        <f>Tabell2[[#This Row],[Eldreandel-I]]*Vekter!$G$3</f>
        <v>0.46583565703826696</v>
      </c>
      <c r="AI333" s="55">
        <f>Tabell2[[#This Row],[Sysselsettingsvekst10-I]]*Vekter!$H$3</f>
        <v>0.12020797392720653</v>
      </c>
      <c r="AJ333" s="55">
        <f>Tabell2[[#This Row],[Yrkesaktivandel-I]]*Vekter!$J$3</f>
        <v>10</v>
      </c>
      <c r="AK333" s="55">
        <f>Tabell2[[#This Row],[Inntekt-I]]*Vekter!$L$3</f>
        <v>2.9672625957743208</v>
      </c>
      <c r="AL333" s="56">
        <f>SUM(Tabell2[[#This Row],[NIBR11-v]:[Inntekt-v]])</f>
        <v>14.108404119028654</v>
      </c>
    </row>
    <row r="334" spans="1:38" x14ac:dyDescent="0.25">
      <c r="A334" s="2" t="s">
        <v>331</v>
      </c>
      <c r="B334">
        <f>'Rådata-K'!M333</f>
        <v>11</v>
      </c>
      <c r="C334" s="7">
        <f>'Rådata-K'!L333</f>
        <v>317.03333333299997</v>
      </c>
      <c r="D334" s="34">
        <f>'Rådata-K'!N333</f>
        <v>0.29972992756000905</v>
      </c>
      <c r="E334" s="34">
        <f>'Rådata-K'!O333</f>
        <v>-0.12361623616236161</v>
      </c>
      <c r="F334" s="34">
        <f>'Rådata-K'!P333</f>
        <v>7.7894736842105267E-2</v>
      </c>
      <c r="G334" s="34">
        <f>'Rådata-K'!Q333</f>
        <v>0.22736842105263158</v>
      </c>
      <c r="H334" s="34">
        <f>'Rådata-K'!R333</f>
        <v>-2.7397260273972601E-2</v>
      </c>
      <c r="I334" s="34">
        <f>'Rådata-K'!S333</f>
        <v>1.0450819672131149</v>
      </c>
      <c r="J334" s="22">
        <f>'Rådata-K'!K333</f>
        <v>345000</v>
      </c>
      <c r="K334" s="22">
        <f>Tabell2[[#This Row],[NIBR11]]</f>
        <v>11</v>
      </c>
      <c r="L334" s="32">
        <f>IF(Tabell2[[#This Row],[ReisetidOslo]]&lt;=C$434,C$434,IF(Tabell2[[#This Row],[ReisetidOslo]]&gt;=C$435,C$435,Tabell2[[#This Row],[ReisetidOslo]]))</f>
        <v>280.45666666669001</v>
      </c>
      <c r="M334" s="32">
        <f>IF(Tabell2[[#This Row],[Beftettotal]]&lt;=D$434,D$434,IF(Tabell2[[#This Row],[Beftettotal]]&gt;=D$435,D$435,Tabell2[[#This Row],[Beftettotal]]))</f>
        <v>1.3297721240876861</v>
      </c>
      <c r="N334" s="34">
        <f>IF(Tabell2[[#This Row],[Befvekst10]]&lt;=E$434,E$434,IF(Tabell2[[#This Row],[Befvekst10]]&gt;=E$435,E$435,Tabell2[[#This Row],[Befvekst10]]))</f>
        <v>-7.6196156394963507E-2</v>
      </c>
      <c r="O334" s="34">
        <f>IF(Tabell2[[#This Row],[Kvinneandel]]&lt;=F$434,F$434,IF(Tabell2[[#This Row],[Kvinneandel]]&gt;=F$435,F$435,Tabell2[[#This Row],[Kvinneandel]]))</f>
        <v>9.0490197137593403E-2</v>
      </c>
      <c r="P334" s="34">
        <f>IF(Tabell2[[#This Row],[Eldreandel]]&lt;=G$434,G$434,IF(Tabell2[[#This Row],[Eldreandel]]&gt;=G$435,G$435,Tabell2[[#This Row],[Eldreandel]]))</f>
        <v>0.21438492803547596</v>
      </c>
      <c r="Q334" s="34">
        <f>IF(Tabell2[[#This Row],[Sysselsettingsvekst10]]&lt;=H$434,H$434,IF(Tabell2[[#This Row],[Sysselsettingsvekst10]]&gt;=H$435,H$435,Tabell2[[#This Row],[Sysselsettingsvekst10]]))</f>
        <v>-2.7397260273972601E-2</v>
      </c>
      <c r="R334" s="34">
        <f>IF(Tabell2[[#This Row],[Yrkesaktivandel]]&lt;=I$434,I$434,IF(Tabell2[[#This Row],[Yrkesaktivandel]]&gt;=I$435,I$435,Tabell2[[#This Row],[Yrkesaktivandel]]))</f>
        <v>0.96203284815106216</v>
      </c>
      <c r="S334" s="22">
        <f>IF(Tabell2[[#This Row],[Inntekt]]&lt;=J$434,J$434,IF(Tabell2[[#This Row],[Inntekt]]&gt;=J$435,J$435,Tabell2[[#This Row],[Inntekt]]))</f>
        <v>345000</v>
      </c>
      <c r="T334" s="22">
        <f>IF(Tabell2[[#This Row],[NIBR11-T]]&lt;=K$437,100,IF(Tabell2[[#This Row],[NIBR11-T]]&gt;=K$436,0,100*(K$436-Tabell2[[#This Row],[NIBR11-T]])/K$439))</f>
        <v>0</v>
      </c>
      <c r="U334" s="7">
        <f>IF(Tabell2[[#This Row],[ReisetidOslo-T]]&lt;=L$437,100,IF(Tabell2[[#This Row],[ReisetidOslo-T]]&gt;=L$436,0,100*(L$436-Tabell2[[#This Row],[ReisetidOslo-T]])/L$439))</f>
        <v>0</v>
      </c>
      <c r="V334" s="7">
        <f>100-(M$436-Tabell2[[#This Row],[Beftettotal-T]])*100/M$439</f>
        <v>0</v>
      </c>
      <c r="W334" s="7">
        <f>100-(N$436-Tabell2[[#This Row],[Befvekst10-T]])*100/N$439</f>
        <v>0</v>
      </c>
      <c r="X334" s="7">
        <f>100-(O$436-Tabell2[[#This Row],[Kvinneandel-T]])*100/O$439</f>
        <v>0</v>
      </c>
      <c r="Y334" s="7">
        <f>(P$436-Tabell2[[#This Row],[Eldreandel-T]])*100/P$439</f>
        <v>0</v>
      </c>
      <c r="Z334" s="7">
        <f>100-(Q$436-Tabell2[[#This Row],[Sysselsettingsvekst10-T]])*100/Q$439</f>
        <v>12.59675692055167</v>
      </c>
      <c r="AA334" s="7">
        <f>100-(R$436-Tabell2[[#This Row],[Yrkesaktivandel-T]])*100/R$439</f>
        <v>100</v>
      </c>
      <c r="AB334" s="7">
        <f>100-(S$436-Tabell2[[#This Row],[Inntekt-T]])*100/S$439</f>
        <v>15.50963547713026</v>
      </c>
      <c r="AC334" s="55">
        <f>Tabell2[[#This Row],[NIBR11-I]]*Vekter!$B$3</f>
        <v>0</v>
      </c>
      <c r="AD334" s="55">
        <f>Tabell2[[#This Row],[ReisetidOslo-I]]*Vekter!$C$3</f>
        <v>0</v>
      </c>
      <c r="AE334" s="55">
        <f>Tabell2[[#This Row],[Beftettotal-I]]*Vekter!$D$3</f>
        <v>0</v>
      </c>
      <c r="AF334" s="55">
        <f>Tabell2[[#This Row],[Befvekst10-I]]*Vekter!$E$3</f>
        <v>0</v>
      </c>
      <c r="AG334" s="55">
        <f>Tabell2[[#This Row],[Kvinneandel-I]]*Vekter!$F$3</f>
        <v>0</v>
      </c>
      <c r="AH334" s="55">
        <f>Tabell2[[#This Row],[Eldreandel-I]]*Vekter!$G$3</f>
        <v>0</v>
      </c>
      <c r="AI334" s="55">
        <f>Tabell2[[#This Row],[Sysselsettingsvekst10-I]]*Vekter!$H$3</f>
        <v>1.2596756920551671</v>
      </c>
      <c r="AJ334" s="55">
        <f>Tabell2[[#This Row],[Yrkesaktivandel-I]]*Vekter!$J$3</f>
        <v>10</v>
      </c>
      <c r="AK334" s="55">
        <f>Tabell2[[#This Row],[Inntekt-I]]*Vekter!$L$3</f>
        <v>1.5509635477130261</v>
      </c>
      <c r="AL334" s="56">
        <f>SUM(Tabell2[[#This Row],[NIBR11-v]:[Inntekt-v]])</f>
        <v>12.810639239768193</v>
      </c>
    </row>
    <row r="335" spans="1:38" x14ac:dyDescent="0.25">
      <c r="A335" s="2" t="s">
        <v>332</v>
      </c>
      <c r="B335">
        <f>'Rådata-K'!M334</f>
        <v>11</v>
      </c>
      <c r="C335" s="7">
        <f>'Rådata-K'!L334</f>
        <v>302.48333333329998</v>
      </c>
      <c r="D335" s="34">
        <f>'Rådata-K'!N334</f>
        <v>0.62942786982415533</v>
      </c>
      <c r="E335" s="34">
        <f>'Rådata-K'!O334</f>
        <v>-5.2072263549415521E-2</v>
      </c>
      <c r="F335" s="34">
        <f>'Rådata-K'!P334</f>
        <v>8.744394618834081E-2</v>
      </c>
      <c r="G335" s="34">
        <f>'Rådata-K'!Q334</f>
        <v>0.23654708520179371</v>
      </c>
      <c r="H335" s="34">
        <f>'Rådata-K'!R334</f>
        <v>1.9950124688279391E-2</v>
      </c>
      <c r="I335" s="34">
        <f>'Rådata-K'!S334</f>
        <v>0.94517543859649122</v>
      </c>
      <c r="J335" s="22">
        <f>'Rådata-K'!K334</f>
        <v>343500</v>
      </c>
      <c r="K335" s="22">
        <f>Tabell2[[#This Row],[NIBR11]]</f>
        <v>11</v>
      </c>
      <c r="L335" s="32">
        <f>IF(Tabell2[[#This Row],[ReisetidOslo]]&lt;=C$434,C$434,IF(Tabell2[[#This Row],[ReisetidOslo]]&gt;=C$435,C$435,Tabell2[[#This Row],[ReisetidOslo]]))</f>
        <v>280.45666666669001</v>
      </c>
      <c r="M335" s="32">
        <f>IF(Tabell2[[#This Row],[Beftettotal]]&lt;=D$434,D$434,IF(Tabell2[[#This Row],[Beftettotal]]&gt;=D$435,D$435,Tabell2[[#This Row],[Beftettotal]]))</f>
        <v>1.3297721240876861</v>
      </c>
      <c r="N335" s="34">
        <f>IF(Tabell2[[#This Row],[Befvekst10]]&lt;=E$434,E$434,IF(Tabell2[[#This Row],[Befvekst10]]&gt;=E$435,E$435,Tabell2[[#This Row],[Befvekst10]]))</f>
        <v>-5.2072263549415521E-2</v>
      </c>
      <c r="O335" s="34">
        <f>IF(Tabell2[[#This Row],[Kvinneandel]]&lt;=F$434,F$434,IF(Tabell2[[#This Row],[Kvinneandel]]&gt;=F$435,F$435,Tabell2[[#This Row],[Kvinneandel]]))</f>
        <v>9.0490197137593403E-2</v>
      </c>
      <c r="P335" s="34">
        <f>IF(Tabell2[[#This Row],[Eldreandel]]&lt;=G$434,G$434,IF(Tabell2[[#This Row],[Eldreandel]]&gt;=G$435,G$435,Tabell2[[#This Row],[Eldreandel]]))</f>
        <v>0.21438492803547596</v>
      </c>
      <c r="Q335" s="34">
        <f>IF(Tabell2[[#This Row],[Sysselsettingsvekst10]]&lt;=H$434,H$434,IF(Tabell2[[#This Row],[Sysselsettingsvekst10]]&gt;=H$435,H$435,Tabell2[[#This Row],[Sysselsettingsvekst10]]))</f>
        <v>1.9950124688279391E-2</v>
      </c>
      <c r="R335" s="34">
        <f>IF(Tabell2[[#This Row],[Yrkesaktivandel]]&lt;=I$434,I$434,IF(Tabell2[[#This Row],[Yrkesaktivandel]]&gt;=I$435,I$435,Tabell2[[#This Row],[Yrkesaktivandel]]))</f>
        <v>0.94517543859649122</v>
      </c>
      <c r="S335" s="22">
        <f>IF(Tabell2[[#This Row],[Inntekt]]&lt;=J$434,J$434,IF(Tabell2[[#This Row],[Inntekt]]&gt;=J$435,J$435,Tabell2[[#This Row],[Inntekt]]))</f>
        <v>343500</v>
      </c>
      <c r="T335" s="22">
        <f>IF(Tabell2[[#This Row],[NIBR11-T]]&lt;=K$437,100,IF(Tabell2[[#This Row],[NIBR11-T]]&gt;=K$436,0,100*(K$436-Tabell2[[#This Row],[NIBR11-T]])/K$439))</f>
        <v>0</v>
      </c>
      <c r="U335" s="7">
        <f>IF(Tabell2[[#This Row],[ReisetidOslo-T]]&lt;=L$437,100,IF(Tabell2[[#This Row],[ReisetidOslo-T]]&gt;=L$436,0,100*(L$436-Tabell2[[#This Row],[ReisetidOslo-T]])/L$439))</f>
        <v>0</v>
      </c>
      <c r="V335" s="7">
        <f>100-(M$436-Tabell2[[#This Row],[Beftettotal-T]])*100/M$439</f>
        <v>0</v>
      </c>
      <c r="W335" s="7">
        <f>100-(N$436-Tabell2[[#This Row],[Befvekst10-T]])*100/N$439</f>
        <v>9.7131610894682439</v>
      </c>
      <c r="X335" s="7">
        <f>100-(O$436-Tabell2[[#This Row],[Kvinneandel-T]])*100/O$439</f>
        <v>0</v>
      </c>
      <c r="Y335" s="7">
        <f>(P$436-Tabell2[[#This Row],[Eldreandel-T]])*100/P$439</f>
        <v>0</v>
      </c>
      <c r="Z335" s="7">
        <f>100-(Q$436-Tabell2[[#This Row],[Sysselsettingsvekst10-T]])*100/Q$439</f>
        <v>26.684540676147904</v>
      </c>
      <c r="AA335" s="7">
        <f>100-(R$436-Tabell2[[#This Row],[Yrkesaktivandel-T]])*100/R$439</f>
        <v>87.03847688867431</v>
      </c>
      <c r="AB335" s="7">
        <f>100-(S$436-Tabell2[[#This Row],[Inntekt-T]])*100/S$439</f>
        <v>13.768284188530302</v>
      </c>
      <c r="AC335" s="55">
        <f>Tabell2[[#This Row],[NIBR11-I]]*Vekter!$B$3</f>
        <v>0</v>
      </c>
      <c r="AD335" s="55">
        <f>Tabell2[[#This Row],[ReisetidOslo-I]]*Vekter!$C$3</f>
        <v>0</v>
      </c>
      <c r="AE335" s="55">
        <f>Tabell2[[#This Row],[Beftettotal-I]]*Vekter!$D$3</f>
        <v>0</v>
      </c>
      <c r="AF335" s="55">
        <f>Tabell2[[#This Row],[Befvekst10-I]]*Vekter!$E$3</f>
        <v>1.9426322178936488</v>
      </c>
      <c r="AG335" s="55">
        <f>Tabell2[[#This Row],[Kvinneandel-I]]*Vekter!$F$3</f>
        <v>0</v>
      </c>
      <c r="AH335" s="55">
        <f>Tabell2[[#This Row],[Eldreandel-I]]*Vekter!$G$3</f>
        <v>0</v>
      </c>
      <c r="AI335" s="55">
        <f>Tabell2[[#This Row],[Sysselsettingsvekst10-I]]*Vekter!$H$3</f>
        <v>2.6684540676147908</v>
      </c>
      <c r="AJ335" s="55">
        <f>Tabell2[[#This Row],[Yrkesaktivandel-I]]*Vekter!$J$3</f>
        <v>8.7038476888674321</v>
      </c>
      <c r="AK335" s="55">
        <f>Tabell2[[#This Row],[Inntekt-I]]*Vekter!$L$3</f>
        <v>1.3768284188530302</v>
      </c>
      <c r="AL335" s="56">
        <f>SUM(Tabell2[[#This Row],[NIBR11-v]:[Inntekt-v]])</f>
        <v>14.691762393228903</v>
      </c>
    </row>
    <row r="336" spans="1:38" x14ac:dyDescent="0.25">
      <c r="A336" s="2" t="s">
        <v>333</v>
      </c>
      <c r="B336">
        <f>'Rådata-K'!M335</f>
        <v>6</v>
      </c>
      <c r="C336" s="7">
        <f>'Rådata-K'!L335</f>
        <v>246.6666666667</v>
      </c>
      <c r="D336" s="34">
        <f>'Rådata-K'!N335</f>
        <v>2.1906932941373212</v>
      </c>
      <c r="E336" s="34">
        <f>'Rådata-K'!O335</f>
        <v>3.2245062474809405E-3</v>
      </c>
      <c r="F336" s="34">
        <f>'Rådata-K'!P335</f>
        <v>9.602249899558056E-2</v>
      </c>
      <c r="G336" s="34">
        <f>'Rådata-K'!Q335</f>
        <v>0.18320610687022901</v>
      </c>
      <c r="H336" s="34">
        <f>'Rådata-K'!R335</f>
        <v>-5.0804403048264168E-2</v>
      </c>
      <c r="I336" s="34">
        <f>'Rådata-K'!S335</f>
        <v>0.84354722422494588</v>
      </c>
      <c r="J336" s="22">
        <f>'Rådata-K'!K335</f>
        <v>331500</v>
      </c>
      <c r="K336" s="22">
        <f>Tabell2[[#This Row],[NIBR11]]</f>
        <v>6</v>
      </c>
      <c r="L336" s="32">
        <f>IF(Tabell2[[#This Row],[ReisetidOslo]]&lt;=C$434,C$434,IF(Tabell2[[#This Row],[ReisetidOslo]]&gt;=C$435,C$435,Tabell2[[#This Row],[ReisetidOslo]]))</f>
        <v>246.6666666667</v>
      </c>
      <c r="M336" s="32">
        <f>IF(Tabell2[[#This Row],[Beftettotal]]&lt;=D$434,D$434,IF(Tabell2[[#This Row],[Beftettotal]]&gt;=D$435,D$435,Tabell2[[#This Row],[Beftettotal]]))</f>
        <v>2.1906932941373212</v>
      </c>
      <c r="N336" s="34">
        <f>IF(Tabell2[[#This Row],[Befvekst10]]&lt;=E$434,E$434,IF(Tabell2[[#This Row],[Befvekst10]]&gt;=E$435,E$435,Tabell2[[#This Row],[Befvekst10]]))</f>
        <v>3.2245062474809405E-3</v>
      </c>
      <c r="O336" s="34">
        <f>IF(Tabell2[[#This Row],[Kvinneandel]]&lt;=F$434,F$434,IF(Tabell2[[#This Row],[Kvinneandel]]&gt;=F$435,F$435,Tabell2[[#This Row],[Kvinneandel]]))</f>
        <v>9.602249899558056E-2</v>
      </c>
      <c r="P336" s="34">
        <f>IF(Tabell2[[#This Row],[Eldreandel]]&lt;=G$434,G$434,IF(Tabell2[[#This Row],[Eldreandel]]&gt;=G$435,G$435,Tabell2[[#This Row],[Eldreandel]]))</f>
        <v>0.18320610687022901</v>
      </c>
      <c r="Q336" s="34">
        <f>IF(Tabell2[[#This Row],[Sysselsettingsvekst10]]&lt;=H$434,H$434,IF(Tabell2[[#This Row],[Sysselsettingsvekst10]]&gt;=H$435,H$435,Tabell2[[#This Row],[Sysselsettingsvekst10]]))</f>
        <v>-5.0804403048264168E-2</v>
      </c>
      <c r="R336" s="34">
        <f>IF(Tabell2[[#This Row],[Yrkesaktivandel]]&lt;=I$434,I$434,IF(Tabell2[[#This Row],[Yrkesaktivandel]]&gt;=I$435,I$435,Tabell2[[#This Row],[Yrkesaktivandel]]))</f>
        <v>0.84354722422494588</v>
      </c>
      <c r="S336" s="22">
        <f>IF(Tabell2[[#This Row],[Inntekt]]&lt;=J$434,J$434,IF(Tabell2[[#This Row],[Inntekt]]&gt;=J$435,J$435,Tabell2[[#This Row],[Inntekt]]))</f>
        <v>331640</v>
      </c>
      <c r="T336" s="22">
        <f>IF(Tabell2[[#This Row],[NIBR11-T]]&lt;=K$437,100,IF(Tabell2[[#This Row],[NIBR11-T]]&gt;=K$436,0,100*(K$436-Tabell2[[#This Row],[NIBR11-T]])/K$439))</f>
        <v>50</v>
      </c>
      <c r="U336" s="7">
        <f>IF(Tabell2[[#This Row],[ReisetidOslo-T]]&lt;=L$437,100,IF(Tabell2[[#This Row],[ReisetidOslo-T]]&gt;=L$436,0,100*(L$436-Tabell2[[#This Row],[ReisetidOslo-T]])/L$439))</f>
        <v>14.825594149902692</v>
      </c>
      <c r="V336" s="7">
        <f>100-(M$436-Tabell2[[#This Row],[Beftettotal-T]])*100/M$439</f>
        <v>0.66598346073051573</v>
      </c>
      <c r="W336" s="7">
        <f>100-(N$436-Tabell2[[#This Row],[Befvekst10-T]])*100/N$439</f>
        <v>31.977661939446904</v>
      </c>
      <c r="X336" s="7">
        <f>100-(O$436-Tabell2[[#This Row],[Kvinneandel-T]])*100/O$439</f>
        <v>14.619005142332682</v>
      </c>
      <c r="Y336" s="7">
        <f>(P$436-Tabell2[[#This Row],[Eldreandel-T]])*100/P$439</f>
        <v>34.164253728094941</v>
      </c>
      <c r="Z336" s="7">
        <f>100-(Q$436-Tabell2[[#This Row],[Sysselsettingsvekst10-T]])*100/Q$439</f>
        <v>5.6321744836655512</v>
      </c>
      <c r="AA336" s="7">
        <f>100-(R$436-Tabell2[[#This Row],[Yrkesaktivandel-T]])*100/R$439</f>
        <v>8.8973814211106799</v>
      </c>
      <c r="AB336" s="7">
        <f>100-(S$436-Tabell2[[#This Row],[Inntekt-T]])*100/S$439</f>
        <v>0</v>
      </c>
      <c r="AC336" s="55">
        <f>Tabell2[[#This Row],[NIBR11-I]]*Vekter!$B$3</f>
        <v>10</v>
      </c>
      <c r="AD336" s="55">
        <f>Tabell2[[#This Row],[ReisetidOslo-I]]*Vekter!$C$3</f>
        <v>1.4825594149902692</v>
      </c>
      <c r="AE336" s="55">
        <f>Tabell2[[#This Row],[Beftettotal-I]]*Vekter!$D$3</f>
        <v>6.6598346073051581E-2</v>
      </c>
      <c r="AF336" s="55">
        <f>Tabell2[[#This Row],[Befvekst10-I]]*Vekter!$E$3</f>
        <v>6.3955323878893813</v>
      </c>
      <c r="AG336" s="55">
        <f>Tabell2[[#This Row],[Kvinneandel-I]]*Vekter!$F$3</f>
        <v>0.73095025711663419</v>
      </c>
      <c r="AH336" s="55">
        <f>Tabell2[[#This Row],[Eldreandel-I]]*Vekter!$G$3</f>
        <v>1.7082126864047471</v>
      </c>
      <c r="AI336" s="55">
        <f>Tabell2[[#This Row],[Sysselsettingsvekst10-I]]*Vekter!$H$3</f>
        <v>0.56321744836655518</v>
      </c>
      <c r="AJ336" s="55">
        <f>Tabell2[[#This Row],[Yrkesaktivandel-I]]*Vekter!$J$3</f>
        <v>0.88973814211106805</v>
      </c>
      <c r="AK336" s="55">
        <f>Tabell2[[#This Row],[Inntekt-I]]*Vekter!$L$3</f>
        <v>0</v>
      </c>
      <c r="AL336" s="56">
        <f>SUM(Tabell2[[#This Row],[NIBR11-v]:[Inntekt-v]])</f>
        <v>21.836808682951705</v>
      </c>
    </row>
    <row r="337" spans="1:38" x14ac:dyDescent="0.25">
      <c r="A337" s="2" t="s">
        <v>334</v>
      </c>
      <c r="B337">
        <f>'Rådata-K'!M336</f>
        <v>6</v>
      </c>
      <c r="C337" s="7">
        <f>'Rådata-K'!L336</f>
        <v>249.25</v>
      </c>
      <c r="D337" s="34">
        <f>'Rådata-K'!N336</f>
        <v>1.659553034118926</v>
      </c>
      <c r="E337" s="34">
        <f>'Rådata-K'!O336</f>
        <v>4.0096230954289602E-3</v>
      </c>
      <c r="F337" s="34">
        <f>'Rådata-K'!P336</f>
        <v>9.1853035143769968E-2</v>
      </c>
      <c r="G337" s="34">
        <f>'Rådata-K'!Q336</f>
        <v>0.19728434504792333</v>
      </c>
      <c r="H337" s="34">
        <f>'Rådata-K'!R336</f>
        <v>0.12863070539419086</v>
      </c>
      <c r="I337" s="34">
        <f>'Rådata-K'!S336</f>
        <v>1.0446570972886762</v>
      </c>
      <c r="J337" s="22">
        <f>'Rådata-K'!K336</f>
        <v>366100</v>
      </c>
      <c r="K337" s="22">
        <f>Tabell2[[#This Row],[NIBR11]]</f>
        <v>6</v>
      </c>
      <c r="L337" s="32">
        <f>IF(Tabell2[[#This Row],[ReisetidOslo]]&lt;=C$434,C$434,IF(Tabell2[[#This Row],[ReisetidOslo]]&gt;=C$435,C$435,Tabell2[[#This Row],[ReisetidOslo]]))</f>
        <v>249.25</v>
      </c>
      <c r="M337" s="32">
        <f>IF(Tabell2[[#This Row],[Beftettotal]]&lt;=D$434,D$434,IF(Tabell2[[#This Row],[Beftettotal]]&gt;=D$435,D$435,Tabell2[[#This Row],[Beftettotal]]))</f>
        <v>1.659553034118926</v>
      </c>
      <c r="N337" s="34">
        <f>IF(Tabell2[[#This Row],[Befvekst10]]&lt;=E$434,E$434,IF(Tabell2[[#This Row],[Befvekst10]]&gt;=E$435,E$435,Tabell2[[#This Row],[Befvekst10]]))</f>
        <v>4.0096230954289602E-3</v>
      </c>
      <c r="O337" s="34">
        <f>IF(Tabell2[[#This Row],[Kvinneandel]]&lt;=F$434,F$434,IF(Tabell2[[#This Row],[Kvinneandel]]&gt;=F$435,F$435,Tabell2[[#This Row],[Kvinneandel]]))</f>
        <v>9.1853035143769968E-2</v>
      </c>
      <c r="P337" s="34">
        <f>IF(Tabell2[[#This Row],[Eldreandel]]&lt;=G$434,G$434,IF(Tabell2[[#This Row],[Eldreandel]]&gt;=G$435,G$435,Tabell2[[#This Row],[Eldreandel]]))</f>
        <v>0.19728434504792333</v>
      </c>
      <c r="Q337" s="34">
        <f>IF(Tabell2[[#This Row],[Sysselsettingsvekst10]]&lt;=H$434,H$434,IF(Tabell2[[#This Row],[Sysselsettingsvekst10]]&gt;=H$435,H$435,Tabell2[[#This Row],[Sysselsettingsvekst10]]))</f>
        <v>0.12863070539419086</v>
      </c>
      <c r="R337" s="34">
        <f>IF(Tabell2[[#This Row],[Yrkesaktivandel]]&lt;=I$434,I$434,IF(Tabell2[[#This Row],[Yrkesaktivandel]]&gt;=I$435,I$435,Tabell2[[#This Row],[Yrkesaktivandel]]))</f>
        <v>0.96203284815106216</v>
      </c>
      <c r="S337" s="22">
        <f>IF(Tabell2[[#This Row],[Inntekt]]&lt;=J$434,J$434,IF(Tabell2[[#This Row],[Inntekt]]&gt;=J$435,J$435,Tabell2[[#This Row],[Inntekt]]))</f>
        <v>366100</v>
      </c>
      <c r="T337" s="22">
        <f>IF(Tabell2[[#This Row],[NIBR11-T]]&lt;=K$437,100,IF(Tabell2[[#This Row],[NIBR11-T]]&gt;=K$436,0,100*(K$436-Tabell2[[#This Row],[NIBR11-T]])/K$439))</f>
        <v>50</v>
      </c>
      <c r="U337" s="7">
        <f>IF(Tabell2[[#This Row],[ReisetidOslo-T]]&lt;=L$437,100,IF(Tabell2[[#This Row],[ReisetidOslo-T]]&gt;=L$436,0,100*(L$436-Tabell2[[#This Row],[ReisetidOslo-T]])/L$439))</f>
        <v>13.692138939679772</v>
      </c>
      <c r="V337" s="7">
        <f>100-(M$436-Tabell2[[#This Row],[Beftettotal-T]])*100/M$439</f>
        <v>0.255108875685778</v>
      </c>
      <c r="W337" s="7">
        <f>100-(N$436-Tabell2[[#This Row],[Befvekst10-T]])*100/N$439</f>
        <v>32.293778681757104</v>
      </c>
      <c r="X337" s="7">
        <f>100-(O$436-Tabell2[[#This Row],[Kvinneandel-T]])*100/O$439</f>
        <v>3.601274176986152</v>
      </c>
      <c r="Y337" s="7">
        <f>(P$436-Tabell2[[#This Row],[Eldreandel-T]])*100/P$439</f>
        <v>18.737996955968761</v>
      </c>
      <c r="Z337" s="7">
        <f>100-(Q$436-Tabell2[[#This Row],[Sysselsettingsvekst10-T]])*100/Q$439</f>
        <v>59.021458979833717</v>
      </c>
      <c r="AA337" s="7">
        <f>100-(R$436-Tabell2[[#This Row],[Yrkesaktivandel-T]])*100/R$439</f>
        <v>100</v>
      </c>
      <c r="AB337" s="7">
        <f>100-(S$436-Tabell2[[#This Row],[Inntekt-T]])*100/S$439</f>
        <v>40.004643603436264</v>
      </c>
      <c r="AC337" s="55">
        <f>Tabell2[[#This Row],[NIBR11-I]]*Vekter!$B$3</f>
        <v>10</v>
      </c>
      <c r="AD337" s="55">
        <f>Tabell2[[#This Row],[ReisetidOslo-I]]*Vekter!$C$3</f>
        <v>1.3692138939679772</v>
      </c>
      <c r="AE337" s="55">
        <f>Tabell2[[#This Row],[Beftettotal-I]]*Vekter!$D$3</f>
        <v>2.5510887568577802E-2</v>
      </c>
      <c r="AF337" s="55">
        <f>Tabell2[[#This Row],[Befvekst10-I]]*Vekter!$E$3</f>
        <v>6.4587557363514208</v>
      </c>
      <c r="AG337" s="55">
        <f>Tabell2[[#This Row],[Kvinneandel-I]]*Vekter!$F$3</f>
        <v>0.18006370884930761</v>
      </c>
      <c r="AH337" s="55">
        <f>Tabell2[[#This Row],[Eldreandel-I]]*Vekter!$G$3</f>
        <v>0.93689984779843805</v>
      </c>
      <c r="AI337" s="55">
        <f>Tabell2[[#This Row],[Sysselsettingsvekst10-I]]*Vekter!$H$3</f>
        <v>5.9021458979833721</v>
      </c>
      <c r="AJ337" s="55">
        <f>Tabell2[[#This Row],[Yrkesaktivandel-I]]*Vekter!$J$3</f>
        <v>10</v>
      </c>
      <c r="AK337" s="55">
        <f>Tabell2[[#This Row],[Inntekt-I]]*Vekter!$L$3</f>
        <v>4.000464360343627</v>
      </c>
      <c r="AL337" s="56">
        <f>SUM(Tabell2[[#This Row],[NIBR11-v]:[Inntekt-v]])</f>
        <v>38.873054332862722</v>
      </c>
    </row>
    <row r="338" spans="1:38" x14ac:dyDescent="0.25">
      <c r="A338" s="2" t="s">
        <v>335</v>
      </c>
      <c r="B338">
        <f>'Rådata-K'!M337</f>
        <v>6</v>
      </c>
      <c r="C338" s="7">
        <f>'Rådata-K'!L337</f>
        <v>227.36666666669998</v>
      </c>
      <c r="D338" s="34">
        <f>'Rådata-K'!N337</f>
        <v>5.1398347469820092</v>
      </c>
      <c r="E338" s="34">
        <f>'Rådata-K'!O337</f>
        <v>7.9113924050632889E-2</v>
      </c>
      <c r="F338" s="34">
        <f>'Rådata-K'!P337</f>
        <v>0.119168221807518</v>
      </c>
      <c r="G338" s="34">
        <f>'Rådata-K'!Q337</f>
        <v>0.1508930951746201</v>
      </c>
      <c r="H338" s="34">
        <f>'Rådata-K'!R337</f>
        <v>9.8082595870206513E-2</v>
      </c>
      <c r="I338" s="34">
        <f>'Rådata-K'!S337</f>
        <v>0.94659036719122558</v>
      </c>
      <c r="J338" s="22">
        <f>'Rådata-K'!K337</f>
        <v>369100</v>
      </c>
      <c r="K338" s="22">
        <f>Tabell2[[#This Row],[NIBR11]]</f>
        <v>6</v>
      </c>
      <c r="L338" s="32">
        <f>IF(Tabell2[[#This Row],[ReisetidOslo]]&lt;=C$434,C$434,IF(Tabell2[[#This Row],[ReisetidOslo]]&gt;=C$435,C$435,Tabell2[[#This Row],[ReisetidOslo]]))</f>
        <v>227.36666666669998</v>
      </c>
      <c r="M338" s="32">
        <f>IF(Tabell2[[#This Row],[Beftettotal]]&lt;=D$434,D$434,IF(Tabell2[[#This Row],[Beftettotal]]&gt;=D$435,D$435,Tabell2[[#This Row],[Beftettotal]]))</f>
        <v>5.1398347469820092</v>
      </c>
      <c r="N338" s="34">
        <f>IF(Tabell2[[#This Row],[Befvekst10]]&lt;=E$434,E$434,IF(Tabell2[[#This Row],[Befvekst10]]&gt;=E$435,E$435,Tabell2[[#This Row],[Befvekst10]]))</f>
        <v>7.9113924050632889E-2</v>
      </c>
      <c r="O338" s="34">
        <f>IF(Tabell2[[#This Row],[Kvinneandel]]&lt;=F$434,F$434,IF(Tabell2[[#This Row],[Kvinneandel]]&gt;=F$435,F$435,Tabell2[[#This Row],[Kvinneandel]]))</f>
        <v>0.119168221807518</v>
      </c>
      <c r="P338" s="34">
        <f>IF(Tabell2[[#This Row],[Eldreandel]]&lt;=G$434,G$434,IF(Tabell2[[#This Row],[Eldreandel]]&gt;=G$435,G$435,Tabell2[[#This Row],[Eldreandel]]))</f>
        <v>0.1508930951746201</v>
      </c>
      <c r="Q338" s="34">
        <f>IF(Tabell2[[#This Row],[Sysselsettingsvekst10]]&lt;=H$434,H$434,IF(Tabell2[[#This Row],[Sysselsettingsvekst10]]&gt;=H$435,H$435,Tabell2[[#This Row],[Sysselsettingsvekst10]]))</f>
        <v>9.8082595870206513E-2</v>
      </c>
      <c r="R338" s="34">
        <f>IF(Tabell2[[#This Row],[Yrkesaktivandel]]&lt;=I$434,I$434,IF(Tabell2[[#This Row],[Yrkesaktivandel]]&gt;=I$435,I$435,Tabell2[[#This Row],[Yrkesaktivandel]]))</f>
        <v>0.94659036719122558</v>
      </c>
      <c r="S338" s="22">
        <f>IF(Tabell2[[#This Row],[Inntekt]]&lt;=J$434,J$434,IF(Tabell2[[#This Row],[Inntekt]]&gt;=J$435,J$435,Tabell2[[#This Row],[Inntekt]]))</f>
        <v>369100</v>
      </c>
      <c r="T338" s="22">
        <f>IF(Tabell2[[#This Row],[NIBR11-T]]&lt;=K$437,100,IF(Tabell2[[#This Row],[NIBR11-T]]&gt;=K$436,0,100*(K$436-Tabell2[[#This Row],[NIBR11-T]])/K$439))</f>
        <v>50</v>
      </c>
      <c r="U338" s="7">
        <f>IF(Tabell2[[#This Row],[ReisetidOslo-T]]&lt;=L$437,100,IF(Tabell2[[#This Row],[ReisetidOslo-T]]&gt;=L$436,0,100*(L$436-Tabell2[[#This Row],[ReisetidOslo-T]])/L$439))</f>
        <v>23.29360146251609</v>
      </c>
      <c r="V338" s="7">
        <f>100-(M$436-Tabell2[[#This Row],[Beftettotal-T]])*100/M$439</f>
        <v>2.9473531136989095</v>
      </c>
      <c r="W338" s="7">
        <f>100-(N$436-Tabell2[[#This Row],[Befvekst10-T]])*100/N$439</f>
        <v>62.533515624728423</v>
      </c>
      <c r="X338" s="7">
        <f>100-(O$436-Tabell2[[#This Row],[Kvinneandel-T]])*100/O$439</f>
        <v>75.781148766547361</v>
      </c>
      <c r="Y338" s="7">
        <f>(P$436-Tabell2[[#This Row],[Eldreandel-T]])*100/P$439</f>
        <v>69.571298928321582</v>
      </c>
      <c r="Z338" s="7">
        <f>100-(Q$436-Tabell2[[#This Row],[Sysselsettingsvekst10-T]])*100/Q$439</f>
        <v>49.932146836000122</v>
      </c>
      <c r="AA338" s="7">
        <f>100-(R$436-Tabell2[[#This Row],[Yrkesaktivandel-T]])*100/R$439</f>
        <v>88.126403810195427</v>
      </c>
      <c r="AB338" s="7">
        <f>100-(S$436-Tabell2[[#This Row],[Inntekt-T]])*100/S$439</f>
        <v>43.487346180636173</v>
      </c>
      <c r="AC338" s="55">
        <f>Tabell2[[#This Row],[NIBR11-I]]*Vekter!$B$3</f>
        <v>10</v>
      </c>
      <c r="AD338" s="55">
        <f>Tabell2[[#This Row],[ReisetidOslo-I]]*Vekter!$C$3</f>
        <v>2.3293601462516089</v>
      </c>
      <c r="AE338" s="55">
        <f>Tabell2[[#This Row],[Beftettotal-I]]*Vekter!$D$3</f>
        <v>0.29473531136989095</v>
      </c>
      <c r="AF338" s="55">
        <f>Tabell2[[#This Row],[Befvekst10-I]]*Vekter!$E$3</f>
        <v>12.506703124945686</v>
      </c>
      <c r="AG338" s="55">
        <f>Tabell2[[#This Row],[Kvinneandel-I]]*Vekter!$F$3</f>
        <v>3.7890574383273683</v>
      </c>
      <c r="AH338" s="55">
        <f>Tabell2[[#This Row],[Eldreandel-I]]*Vekter!$G$3</f>
        <v>3.4785649464160793</v>
      </c>
      <c r="AI338" s="55">
        <f>Tabell2[[#This Row],[Sysselsettingsvekst10-I]]*Vekter!$H$3</f>
        <v>4.9932146836000122</v>
      </c>
      <c r="AJ338" s="55">
        <f>Tabell2[[#This Row],[Yrkesaktivandel-I]]*Vekter!$J$3</f>
        <v>8.8126403810195431</v>
      </c>
      <c r="AK338" s="55">
        <f>Tabell2[[#This Row],[Inntekt-I]]*Vekter!$L$3</f>
        <v>4.3487346180636175</v>
      </c>
      <c r="AL338" s="56">
        <f>SUM(Tabell2[[#This Row],[NIBR11-v]:[Inntekt-v]])</f>
        <v>50.553010649993801</v>
      </c>
    </row>
    <row r="339" spans="1:38" x14ac:dyDescent="0.25">
      <c r="A339" s="2" t="s">
        <v>336</v>
      </c>
      <c r="B339">
        <f>'Rådata-K'!M338</f>
        <v>6</v>
      </c>
      <c r="C339" s="7">
        <f>'Rådata-K'!L338</f>
        <v>248.61666666669998</v>
      </c>
      <c r="D339" s="34">
        <f>'Rådata-K'!N338</f>
        <v>1.15751373399232</v>
      </c>
      <c r="E339" s="34">
        <f>'Rådata-K'!O338</f>
        <v>-0.12133891213389125</v>
      </c>
      <c r="F339" s="34">
        <f>'Rådata-K'!P338</f>
        <v>9.2063492063492069E-2</v>
      </c>
      <c r="G339" s="34">
        <f>'Rådata-K'!Q338</f>
        <v>0.2365079365079365</v>
      </c>
      <c r="H339" s="34">
        <f>'Rådata-K'!R338</f>
        <v>-6.7924528301886777E-2</v>
      </c>
      <c r="I339" s="34">
        <f>'Rådata-K'!S338</f>
        <v>0.87573964497041423</v>
      </c>
      <c r="J339" s="22">
        <f>'Rådata-K'!K338</f>
        <v>313600</v>
      </c>
      <c r="K339" s="22">
        <f>Tabell2[[#This Row],[NIBR11]]</f>
        <v>6</v>
      </c>
      <c r="L339" s="32">
        <f>IF(Tabell2[[#This Row],[ReisetidOslo]]&lt;=C$434,C$434,IF(Tabell2[[#This Row],[ReisetidOslo]]&gt;=C$435,C$435,Tabell2[[#This Row],[ReisetidOslo]]))</f>
        <v>248.61666666669998</v>
      </c>
      <c r="M339" s="32">
        <f>IF(Tabell2[[#This Row],[Beftettotal]]&lt;=D$434,D$434,IF(Tabell2[[#This Row],[Beftettotal]]&gt;=D$435,D$435,Tabell2[[#This Row],[Beftettotal]]))</f>
        <v>1.3297721240876861</v>
      </c>
      <c r="N339" s="34">
        <f>IF(Tabell2[[#This Row],[Befvekst10]]&lt;=E$434,E$434,IF(Tabell2[[#This Row],[Befvekst10]]&gt;=E$435,E$435,Tabell2[[#This Row],[Befvekst10]]))</f>
        <v>-7.6196156394963507E-2</v>
      </c>
      <c r="O339" s="34">
        <f>IF(Tabell2[[#This Row],[Kvinneandel]]&lt;=F$434,F$434,IF(Tabell2[[#This Row],[Kvinneandel]]&gt;=F$435,F$435,Tabell2[[#This Row],[Kvinneandel]]))</f>
        <v>9.2063492063492069E-2</v>
      </c>
      <c r="P339" s="34">
        <f>IF(Tabell2[[#This Row],[Eldreandel]]&lt;=G$434,G$434,IF(Tabell2[[#This Row],[Eldreandel]]&gt;=G$435,G$435,Tabell2[[#This Row],[Eldreandel]]))</f>
        <v>0.21438492803547596</v>
      </c>
      <c r="Q339" s="34">
        <f>IF(Tabell2[[#This Row],[Sysselsettingsvekst10]]&lt;=H$434,H$434,IF(Tabell2[[#This Row],[Sysselsettingsvekst10]]&gt;=H$435,H$435,Tabell2[[#This Row],[Sysselsettingsvekst10]]))</f>
        <v>-6.7924528301886777E-2</v>
      </c>
      <c r="R339" s="34">
        <f>IF(Tabell2[[#This Row],[Yrkesaktivandel]]&lt;=I$434,I$434,IF(Tabell2[[#This Row],[Yrkesaktivandel]]&gt;=I$435,I$435,Tabell2[[#This Row],[Yrkesaktivandel]]))</f>
        <v>0.87573964497041423</v>
      </c>
      <c r="S339" s="22">
        <f>IF(Tabell2[[#This Row],[Inntekt]]&lt;=J$434,J$434,IF(Tabell2[[#This Row],[Inntekt]]&gt;=J$435,J$435,Tabell2[[#This Row],[Inntekt]]))</f>
        <v>331640</v>
      </c>
      <c r="T339" s="22">
        <f>IF(Tabell2[[#This Row],[NIBR11-T]]&lt;=K$437,100,IF(Tabell2[[#This Row],[NIBR11-T]]&gt;=K$436,0,100*(K$436-Tabell2[[#This Row],[NIBR11-T]])/K$439))</f>
        <v>50</v>
      </c>
      <c r="U339" s="7">
        <f>IF(Tabell2[[#This Row],[ReisetidOslo-T]]&lt;=L$437,100,IF(Tabell2[[#This Row],[ReisetidOslo-T]]&gt;=L$436,0,100*(L$436-Tabell2[[#This Row],[ReisetidOslo-T]])/L$439))</f>
        <v>13.970018281529843</v>
      </c>
      <c r="V339" s="7">
        <f>100-(M$436-Tabell2[[#This Row],[Beftettotal-T]])*100/M$439</f>
        <v>0</v>
      </c>
      <c r="W339" s="7">
        <f>100-(N$436-Tabell2[[#This Row],[Befvekst10-T]])*100/N$439</f>
        <v>0</v>
      </c>
      <c r="X339" s="7">
        <f>100-(O$436-Tabell2[[#This Row],[Kvinneandel-T]])*100/O$439</f>
        <v>4.1574026874388039</v>
      </c>
      <c r="Y339" s="7">
        <f>(P$436-Tabell2[[#This Row],[Eldreandel-T]])*100/P$439</f>
        <v>0</v>
      </c>
      <c r="Z339" s="7">
        <f>100-(Q$436-Tabell2[[#This Row],[Sysselsettingsvekst10-T]])*100/Q$439</f>
        <v>0.53823692757785579</v>
      </c>
      <c r="AA339" s="7">
        <f>100-(R$436-Tabell2[[#This Row],[Yrkesaktivandel-T]])*100/R$439</f>
        <v>33.649868103666634</v>
      </c>
      <c r="AB339" s="7">
        <f>100-(S$436-Tabell2[[#This Row],[Inntekt-T]])*100/S$439</f>
        <v>0</v>
      </c>
      <c r="AC339" s="55">
        <f>Tabell2[[#This Row],[NIBR11-I]]*Vekter!$B$3</f>
        <v>10</v>
      </c>
      <c r="AD339" s="55">
        <f>Tabell2[[#This Row],[ReisetidOslo-I]]*Vekter!$C$3</f>
        <v>1.3970018281529843</v>
      </c>
      <c r="AE339" s="55">
        <f>Tabell2[[#This Row],[Beftettotal-I]]*Vekter!$D$3</f>
        <v>0</v>
      </c>
      <c r="AF339" s="55">
        <f>Tabell2[[#This Row],[Befvekst10-I]]*Vekter!$E$3</f>
        <v>0</v>
      </c>
      <c r="AG339" s="55">
        <f>Tabell2[[#This Row],[Kvinneandel-I]]*Vekter!$F$3</f>
        <v>0.20787013437194021</v>
      </c>
      <c r="AH339" s="55">
        <f>Tabell2[[#This Row],[Eldreandel-I]]*Vekter!$G$3</f>
        <v>0</v>
      </c>
      <c r="AI339" s="55">
        <f>Tabell2[[#This Row],[Sysselsettingsvekst10-I]]*Vekter!$H$3</f>
        <v>5.3823692757785584E-2</v>
      </c>
      <c r="AJ339" s="55">
        <f>Tabell2[[#This Row],[Yrkesaktivandel-I]]*Vekter!$J$3</f>
        <v>3.3649868103666636</v>
      </c>
      <c r="AK339" s="55">
        <f>Tabell2[[#This Row],[Inntekt-I]]*Vekter!$L$3</f>
        <v>0</v>
      </c>
      <c r="AL339" s="56">
        <f>SUM(Tabell2[[#This Row],[NIBR11-v]:[Inntekt-v]])</f>
        <v>15.023682465649372</v>
      </c>
    </row>
    <row r="340" spans="1:38" x14ac:dyDescent="0.25">
      <c r="A340" s="2" t="s">
        <v>337</v>
      </c>
      <c r="B340">
        <f>'Rådata-K'!M339</f>
        <v>11</v>
      </c>
      <c r="C340" s="7">
        <f>'Rådata-K'!L339</f>
        <v>265.8333333333</v>
      </c>
      <c r="D340" s="34">
        <f>'Rådata-K'!N339</f>
        <v>2.4394497612870878</v>
      </c>
      <c r="E340" s="34">
        <f>'Rådata-K'!O339</f>
        <v>-7.1369294605809097E-2</v>
      </c>
      <c r="F340" s="34">
        <f>'Rådata-K'!P339</f>
        <v>8.7578194816800708E-2</v>
      </c>
      <c r="G340" s="34">
        <f>'Rådata-K'!Q339</f>
        <v>0.1966041108132261</v>
      </c>
      <c r="H340" s="34">
        <f>'Rådata-K'!R339</f>
        <v>0.19585253456221197</v>
      </c>
      <c r="I340" s="34">
        <f>'Rådata-K'!S339</f>
        <v>0.96998420221169035</v>
      </c>
      <c r="J340" s="22">
        <f>'Rådata-K'!K339</f>
        <v>323500</v>
      </c>
      <c r="K340" s="22">
        <f>Tabell2[[#This Row],[NIBR11]]</f>
        <v>11</v>
      </c>
      <c r="L340" s="32">
        <f>IF(Tabell2[[#This Row],[ReisetidOslo]]&lt;=C$434,C$434,IF(Tabell2[[#This Row],[ReisetidOslo]]&gt;=C$435,C$435,Tabell2[[#This Row],[ReisetidOslo]]))</f>
        <v>265.8333333333</v>
      </c>
      <c r="M340" s="32">
        <f>IF(Tabell2[[#This Row],[Beftettotal]]&lt;=D$434,D$434,IF(Tabell2[[#This Row],[Beftettotal]]&gt;=D$435,D$435,Tabell2[[#This Row],[Beftettotal]]))</f>
        <v>2.4394497612870878</v>
      </c>
      <c r="N340" s="34">
        <f>IF(Tabell2[[#This Row],[Befvekst10]]&lt;=E$434,E$434,IF(Tabell2[[#This Row],[Befvekst10]]&gt;=E$435,E$435,Tabell2[[#This Row],[Befvekst10]]))</f>
        <v>-7.1369294605809097E-2</v>
      </c>
      <c r="O340" s="34">
        <f>IF(Tabell2[[#This Row],[Kvinneandel]]&lt;=F$434,F$434,IF(Tabell2[[#This Row],[Kvinneandel]]&gt;=F$435,F$435,Tabell2[[#This Row],[Kvinneandel]]))</f>
        <v>9.0490197137593403E-2</v>
      </c>
      <c r="P340" s="34">
        <f>IF(Tabell2[[#This Row],[Eldreandel]]&lt;=G$434,G$434,IF(Tabell2[[#This Row],[Eldreandel]]&gt;=G$435,G$435,Tabell2[[#This Row],[Eldreandel]]))</f>
        <v>0.1966041108132261</v>
      </c>
      <c r="Q340" s="34">
        <f>IF(Tabell2[[#This Row],[Sysselsettingsvekst10]]&lt;=H$434,H$434,IF(Tabell2[[#This Row],[Sysselsettingsvekst10]]&gt;=H$435,H$435,Tabell2[[#This Row],[Sysselsettingsvekst10]]))</f>
        <v>0.19585253456221197</v>
      </c>
      <c r="R340" s="34">
        <f>IF(Tabell2[[#This Row],[Yrkesaktivandel]]&lt;=I$434,I$434,IF(Tabell2[[#This Row],[Yrkesaktivandel]]&gt;=I$435,I$435,Tabell2[[#This Row],[Yrkesaktivandel]]))</f>
        <v>0.96203284815106216</v>
      </c>
      <c r="S340" s="22">
        <f>IF(Tabell2[[#This Row],[Inntekt]]&lt;=J$434,J$434,IF(Tabell2[[#This Row],[Inntekt]]&gt;=J$435,J$435,Tabell2[[#This Row],[Inntekt]]))</f>
        <v>331640</v>
      </c>
      <c r="T340" s="22">
        <f>IF(Tabell2[[#This Row],[NIBR11-T]]&lt;=K$437,100,IF(Tabell2[[#This Row],[NIBR11-T]]&gt;=K$436,0,100*(K$436-Tabell2[[#This Row],[NIBR11-T]])/K$439))</f>
        <v>0</v>
      </c>
      <c r="U340" s="7">
        <f>IF(Tabell2[[#This Row],[ReisetidOslo-T]]&lt;=L$437,100,IF(Tabell2[[#This Row],[ReisetidOslo-T]]&gt;=L$436,0,100*(L$436-Tabell2[[#This Row],[ReisetidOslo-T]])/L$439))</f>
        <v>6.4160877513953238</v>
      </c>
      <c r="V340" s="7">
        <f>100-(M$436-Tabell2[[#This Row],[Beftettotal-T]])*100/M$439</f>
        <v>0.8584141949659454</v>
      </c>
      <c r="W340" s="7">
        <f>100-(N$436-Tabell2[[#This Row],[Befvekst10-T]])*100/N$439</f>
        <v>1.9434709984341652</v>
      </c>
      <c r="X340" s="7">
        <f>100-(O$436-Tabell2[[#This Row],[Kvinneandel-T]])*100/O$439</f>
        <v>0</v>
      </c>
      <c r="Y340" s="7">
        <f>(P$436-Tabell2[[#This Row],[Eldreandel-T]])*100/P$439</f>
        <v>19.483364937187904</v>
      </c>
      <c r="Z340" s="7">
        <f>100-(Q$436-Tabell2[[#This Row],[Sysselsettingsvekst10-T]])*100/Q$439</f>
        <v>79.022702844298891</v>
      </c>
      <c r="AA340" s="7">
        <f>100-(R$436-Tabell2[[#This Row],[Yrkesaktivandel-T]])*100/R$439</f>
        <v>100</v>
      </c>
      <c r="AB340" s="7">
        <f>100-(S$436-Tabell2[[#This Row],[Inntekt-T]])*100/S$439</f>
        <v>0</v>
      </c>
      <c r="AC340" s="55">
        <f>Tabell2[[#This Row],[NIBR11-I]]*Vekter!$B$3</f>
        <v>0</v>
      </c>
      <c r="AD340" s="55">
        <f>Tabell2[[#This Row],[ReisetidOslo-I]]*Vekter!$C$3</f>
        <v>0.64160877513953241</v>
      </c>
      <c r="AE340" s="55">
        <f>Tabell2[[#This Row],[Beftettotal-I]]*Vekter!$D$3</f>
        <v>8.5841419496594545E-2</v>
      </c>
      <c r="AF340" s="55">
        <f>Tabell2[[#This Row],[Befvekst10-I]]*Vekter!$E$3</f>
        <v>0.38869419968683305</v>
      </c>
      <c r="AG340" s="55">
        <f>Tabell2[[#This Row],[Kvinneandel-I]]*Vekter!$F$3</f>
        <v>0</v>
      </c>
      <c r="AH340" s="55">
        <f>Tabell2[[#This Row],[Eldreandel-I]]*Vekter!$G$3</f>
        <v>0.97416824685939529</v>
      </c>
      <c r="AI340" s="55">
        <f>Tabell2[[#This Row],[Sysselsettingsvekst10-I]]*Vekter!$H$3</f>
        <v>7.9022702844298891</v>
      </c>
      <c r="AJ340" s="55">
        <f>Tabell2[[#This Row],[Yrkesaktivandel-I]]*Vekter!$J$3</f>
        <v>10</v>
      </c>
      <c r="AK340" s="55">
        <f>Tabell2[[#This Row],[Inntekt-I]]*Vekter!$L$3</f>
        <v>0</v>
      </c>
      <c r="AL340" s="56">
        <f>SUM(Tabell2[[#This Row],[NIBR11-v]:[Inntekt-v]])</f>
        <v>19.992582925612243</v>
      </c>
    </row>
    <row r="341" spans="1:38" x14ac:dyDescent="0.25">
      <c r="A341" s="2" t="s">
        <v>338</v>
      </c>
      <c r="B341">
        <f>'Rådata-K'!M340</f>
        <v>9</v>
      </c>
      <c r="C341" s="7">
        <f>'Rådata-K'!L340</f>
        <v>219.71666666666999</v>
      </c>
      <c r="D341" s="34">
        <f>'Rådata-K'!N340</f>
        <v>13.691709031569699</v>
      </c>
      <c r="E341" s="34">
        <f>'Rådata-K'!O340</f>
        <v>8.7216546224769598E-2</v>
      </c>
      <c r="F341" s="34">
        <f>'Rådata-K'!P340</f>
        <v>0.11964244785697914</v>
      </c>
      <c r="G341" s="34">
        <f>'Rådata-K'!Q340</f>
        <v>0.14531285812514325</v>
      </c>
      <c r="H341" s="34">
        <f>'Rådata-K'!R340</f>
        <v>0.14893617021276606</v>
      </c>
      <c r="I341" s="34">
        <f>'Rådata-K'!S340</f>
        <v>0.90199267995119969</v>
      </c>
      <c r="J341" s="22">
        <f>'Rådata-K'!K340</f>
        <v>381600</v>
      </c>
      <c r="K341" s="22">
        <f>Tabell2[[#This Row],[NIBR11]]</f>
        <v>9</v>
      </c>
      <c r="L341" s="32">
        <f>IF(Tabell2[[#This Row],[ReisetidOslo]]&lt;=C$434,C$434,IF(Tabell2[[#This Row],[ReisetidOslo]]&gt;=C$435,C$435,Tabell2[[#This Row],[ReisetidOslo]]))</f>
        <v>219.71666666666999</v>
      </c>
      <c r="M341" s="32">
        <f>IF(Tabell2[[#This Row],[Beftettotal]]&lt;=D$434,D$434,IF(Tabell2[[#This Row],[Beftettotal]]&gt;=D$435,D$435,Tabell2[[#This Row],[Beftettotal]]))</f>
        <v>13.691709031569699</v>
      </c>
      <c r="N341" s="34">
        <f>IF(Tabell2[[#This Row],[Befvekst10]]&lt;=E$434,E$434,IF(Tabell2[[#This Row],[Befvekst10]]&gt;=E$435,E$435,Tabell2[[#This Row],[Befvekst10]]))</f>
        <v>8.7216546224769598E-2</v>
      </c>
      <c r="O341" s="34">
        <f>IF(Tabell2[[#This Row],[Kvinneandel]]&lt;=F$434,F$434,IF(Tabell2[[#This Row],[Kvinneandel]]&gt;=F$435,F$435,Tabell2[[#This Row],[Kvinneandel]]))</f>
        <v>0.11964244785697914</v>
      </c>
      <c r="P341" s="34">
        <f>IF(Tabell2[[#This Row],[Eldreandel]]&lt;=G$434,G$434,IF(Tabell2[[#This Row],[Eldreandel]]&gt;=G$435,G$435,Tabell2[[#This Row],[Eldreandel]]))</f>
        <v>0.14531285812514325</v>
      </c>
      <c r="Q341" s="34">
        <f>IF(Tabell2[[#This Row],[Sysselsettingsvekst10]]&lt;=H$434,H$434,IF(Tabell2[[#This Row],[Sysselsettingsvekst10]]&gt;=H$435,H$435,Tabell2[[#This Row],[Sysselsettingsvekst10]]))</f>
        <v>0.14893617021276606</v>
      </c>
      <c r="R341" s="34">
        <f>IF(Tabell2[[#This Row],[Yrkesaktivandel]]&lt;=I$434,I$434,IF(Tabell2[[#This Row],[Yrkesaktivandel]]&gt;=I$435,I$435,Tabell2[[#This Row],[Yrkesaktivandel]]))</f>
        <v>0.90199267995119969</v>
      </c>
      <c r="S341" s="22">
        <f>IF(Tabell2[[#This Row],[Inntekt]]&lt;=J$434,J$434,IF(Tabell2[[#This Row],[Inntekt]]&gt;=J$435,J$435,Tabell2[[#This Row],[Inntekt]]))</f>
        <v>381600</v>
      </c>
      <c r="T341" s="22">
        <f>IF(Tabell2[[#This Row],[NIBR11-T]]&lt;=K$437,100,IF(Tabell2[[#This Row],[NIBR11-T]]&gt;=K$436,0,100*(K$436-Tabell2[[#This Row],[NIBR11-T]])/K$439))</f>
        <v>20</v>
      </c>
      <c r="U341" s="7">
        <f>IF(Tabell2[[#This Row],[ReisetidOslo-T]]&lt;=L$437,100,IF(Tabell2[[#This Row],[ReisetidOslo-T]]&gt;=L$436,0,100*(L$436-Tabell2[[#This Row],[ReisetidOslo-T]])/L$439))</f>
        <v>26.650091407684297</v>
      </c>
      <c r="V341" s="7">
        <f>100-(M$436-Tabell2[[#This Row],[Beftettotal-T]])*100/M$439</f>
        <v>9.5628331714765267</v>
      </c>
      <c r="W341" s="7">
        <f>100-(N$436-Tabell2[[#This Row],[Befvekst10-T]])*100/N$439</f>
        <v>65.795927496990231</v>
      </c>
      <c r="X341" s="7">
        <f>100-(O$436-Tabell2[[#This Row],[Kvinneandel-T]])*100/O$439</f>
        <v>77.034282314510136</v>
      </c>
      <c r="Y341" s="7">
        <f>(P$436-Tabell2[[#This Row],[Eldreandel-T]])*100/P$439</f>
        <v>75.685854491882864</v>
      </c>
      <c r="Z341" s="7">
        <f>100-(Q$436-Tabell2[[#This Row],[Sysselsettingsvekst10-T]])*100/Q$439</f>
        <v>65.063165351769925</v>
      </c>
      <c r="AA341" s="7">
        <f>100-(R$436-Tabell2[[#This Row],[Yrkesaktivandel-T]])*100/R$439</f>
        <v>53.835610079285004</v>
      </c>
      <c r="AB341" s="7">
        <f>100-(S$436-Tabell2[[#This Row],[Inntekt-T]])*100/S$439</f>
        <v>57.998606918969124</v>
      </c>
      <c r="AC341" s="55">
        <f>Tabell2[[#This Row],[NIBR11-I]]*Vekter!$B$3</f>
        <v>4</v>
      </c>
      <c r="AD341" s="55">
        <f>Tabell2[[#This Row],[ReisetidOslo-I]]*Vekter!$C$3</f>
        <v>2.6650091407684298</v>
      </c>
      <c r="AE341" s="55">
        <f>Tabell2[[#This Row],[Beftettotal-I]]*Vekter!$D$3</f>
        <v>0.95628331714765269</v>
      </c>
      <c r="AF341" s="55">
        <f>Tabell2[[#This Row],[Befvekst10-I]]*Vekter!$E$3</f>
        <v>13.159185499398047</v>
      </c>
      <c r="AG341" s="55">
        <f>Tabell2[[#This Row],[Kvinneandel-I]]*Vekter!$F$3</f>
        <v>3.8517141157255068</v>
      </c>
      <c r="AH341" s="55">
        <f>Tabell2[[#This Row],[Eldreandel-I]]*Vekter!$G$3</f>
        <v>3.7842927245941436</v>
      </c>
      <c r="AI341" s="55">
        <f>Tabell2[[#This Row],[Sysselsettingsvekst10-I]]*Vekter!$H$3</f>
        <v>6.5063165351769925</v>
      </c>
      <c r="AJ341" s="55">
        <f>Tabell2[[#This Row],[Yrkesaktivandel-I]]*Vekter!$J$3</f>
        <v>5.3835610079285008</v>
      </c>
      <c r="AK341" s="55">
        <f>Tabell2[[#This Row],[Inntekt-I]]*Vekter!$L$3</f>
        <v>5.7998606918969129</v>
      </c>
      <c r="AL341" s="56">
        <f>SUM(Tabell2[[#This Row],[NIBR11-v]:[Inntekt-v]])</f>
        <v>46.10622303263618</v>
      </c>
    </row>
    <row r="342" spans="1:38" x14ac:dyDescent="0.25">
      <c r="A342" s="2" t="s">
        <v>339</v>
      </c>
      <c r="B342">
        <f>'Rådata-K'!M341</f>
        <v>9</v>
      </c>
      <c r="C342" s="7">
        <f>'Rådata-K'!L341</f>
        <v>233.0833333333</v>
      </c>
      <c r="D342" s="34">
        <f>'Rådata-K'!N341</f>
        <v>4.7595406261123703</v>
      </c>
      <c r="E342" s="34">
        <f>'Rådata-K'!O341</f>
        <v>-2.9046436078731142E-2</v>
      </c>
      <c r="F342" s="34">
        <f>'Rådata-K'!P341</f>
        <v>9.8602637276126753E-2</v>
      </c>
      <c r="G342" s="34">
        <f>'Rådata-K'!Q341</f>
        <v>0.17516236961228104</v>
      </c>
      <c r="H342" s="34">
        <f>'Rådata-K'!R341</f>
        <v>3.1410916580844495E-2</v>
      </c>
      <c r="I342" s="34">
        <f>'Rådata-K'!S341</f>
        <v>0.90007137758743749</v>
      </c>
      <c r="J342" s="22">
        <f>'Rådata-K'!K341</f>
        <v>357500</v>
      </c>
      <c r="K342" s="22">
        <f>Tabell2[[#This Row],[NIBR11]]</f>
        <v>9</v>
      </c>
      <c r="L342" s="32">
        <f>IF(Tabell2[[#This Row],[ReisetidOslo]]&lt;=C$434,C$434,IF(Tabell2[[#This Row],[ReisetidOslo]]&gt;=C$435,C$435,Tabell2[[#This Row],[ReisetidOslo]]))</f>
        <v>233.0833333333</v>
      </c>
      <c r="M342" s="32">
        <f>IF(Tabell2[[#This Row],[Beftettotal]]&lt;=D$434,D$434,IF(Tabell2[[#This Row],[Beftettotal]]&gt;=D$435,D$435,Tabell2[[#This Row],[Beftettotal]]))</f>
        <v>4.7595406261123703</v>
      </c>
      <c r="N342" s="34">
        <f>IF(Tabell2[[#This Row],[Befvekst10]]&lt;=E$434,E$434,IF(Tabell2[[#This Row],[Befvekst10]]&gt;=E$435,E$435,Tabell2[[#This Row],[Befvekst10]]))</f>
        <v>-2.9046436078731142E-2</v>
      </c>
      <c r="O342" s="34">
        <f>IF(Tabell2[[#This Row],[Kvinneandel]]&lt;=F$434,F$434,IF(Tabell2[[#This Row],[Kvinneandel]]&gt;=F$435,F$435,Tabell2[[#This Row],[Kvinneandel]]))</f>
        <v>9.8602637276126753E-2</v>
      </c>
      <c r="P342" s="34">
        <f>IF(Tabell2[[#This Row],[Eldreandel]]&lt;=G$434,G$434,IF(Tabell2[[#This Row],[Eldreandel]]&gt;=G$435,G$435,Tabell2[[#This Row],[Eldreandel]]))</f>
        <v>0.17516236961228104</v>
      </c>
      <c r="Q342" s="34">
        <f>IF(Tabell2[[#This Row],[Sysselsettingsvekst10]]&lt;=H$434,H$434,IF(Tabell2[[#This Row],[Sysselsettingsvekst10]]&gt;=H$435,H$435,Tabell2[[#This Row],[Sysselsettingsvekst10]]))</f>
        <v>3.1410916580844495E-2</v>
      </c>
      <c r="R342" s="34">
        <f>IF(Tabell2[[#This Row],[Yrkesaktivandel]]&lt;=I$434,I$434,IF(Tabell2[[#This Row],[Yrkesaktivandel]]&gt;=I$435,I$435,Tabell2[[#This Row],[Yrkesaktivandel]]))</f>
        <v>0.90007137758743749</v>
      </c>
      <c r="S342" s="22">
        <f>IF(Tabell2[[#This Row],[Inntekt]]&lt;=J$434,J$434,IF(Tabell2[[#This Row],[Inntekt]]&gt;=J$435,J$435,Tabell2[[#This Row],[Inntekt]]))</f>
        <v>357500</v>
      </c>
      <c r="T342" s="22">
        <f>IF(Tabell2[[#This Row],[NIBR11-T]]&lt;=K$437,100,IF(Tabell2[[#This Row],[NIBR11-T]]&gt;=K$436,0,100*(K$436-Tabell2[[#This Row],[NIBR11-T]])/K$439))</f>
        <v>20</v>
      </c>
      <c r="U342" s="7">
        <f>IF(Tabell2[[#This Row],[ReisetidOslo-T]]&lt;=L$437,100,IF(Tabell2[[#This Row],[ReisetidOslo-T]]&gt;=L$436,0,100*(L$436-Tabell2[[#This Row],[ReisetidOslo-T]])/L$439))</f>
        <v>20.785374771503541</v>
      </c>
      <c r="V342" s="7">
        <f>100-(M$436-Tabell2[[#This Row],[Beftettotal-T]])*100/M$439</f>
        <v>2.6531686941223427</v>
      </c>
      <c r="W342" s="7">
        <f>100-(N$436-Tabell2[[#This Row],[Befvekst10-T]])*100/N$439</f>
        <v>18.984200920103845</v>
      </c>
      <c r="X342" s="7">
        <f>100-(O$436-Tabell2[[#This Row],[Kvinneandel-T]])*100/O$439</f>
        <v>21.436972736920453</v>
      </c>
      <c r="Y342" s="7">
        <f>(P$436-Tabell2[[#This Row],[Eldreandel-T]])*100/P$439</f>
        <v>42.97819442027788</v>
      </c>
      <c r="Z342" s="7">
        <f>100-(Q$436-Tabell2[[#This Row],[Sysselsettingsvekst10-T]])*100/Q$439</f>
        <v>30.094595064137238</v>
      </c>
      <c r="AA342" s="7">
        <f>100-(R$436-Tabell2[[#This Row],[Yrkesaktivandel-T]])*100/R$439</f>
        <v>52.358336544989456</v>
      </c>
      <c r="AB342" s="7">
        <f>100-(S$436-Tabell2[[#This Row],[Inntekt-T]])*100/S$439</f>
        <v>30.020896215463196</v>
      </c>
      <c r="AC342" s="55">
        <f>Tabell2[[#This Row],[NIBR11-I]]*Vekter!$B$3</f>
        <v>4</v>
      </c>
      <c r="AD342" s="55">
        <f>Tabell2[[#This Row],[ReisetidOslo-I]]*Vekter!$C$3</f>
        <v>2.0785374771503542</v>
      </c>
      <c r="AE342" s="55">
        <f>Tabell2[[#This Row],[Beftettotal-I]]*Vekter!$D$3</f>
        <v>0.26531686941223426</v>
      </c>
      <c r="AF342" s="55">
        <f>Tabell2[[#This Row],[Befvekst10-I]]*Vekter!$E$3</f>
        <v>3.7968401840207693</v>
      </c>
      <c r="AG342" s="55">
        <f>Tabell2[[#This Row],[Kvinneandel-I]]*Vekter!$F$3</f>
        <v>1.0718486368460227</v>
      </c>
      <c r="AH342" s="55">
        <f>Tabell2[[#This Row],[Eldreandel-I]]*Vekter!$G$3</f>
        <v>2.1489097210138941</v>
      </c>
      <c r="AI342" s="55">
        <f>Tabell2[[#This Row],[Sysselsettingsvekst10-I]]*Vekter!$H$3</f>
        <v>3.009459506413724</v>
      </c>
      <c r="AJ342" s="55">
        <f>Tabell2[[#This Row],[Yrkesaktivandel-I]]*Vekter!$J$3</f>
        <v>5.2358336544989461</v>
      </c>
      <c r="AK342" s="55">
        <f>Tabell2[[#This Row],[Inntekt-I]]*Vekter!$L$3</f>
        <v>3.00208962154632</v>
      </c>
      <c r="AL342" s="56">
        <f>SUM(Tabell2[[#This Row],[NIBR11-v]:[Inntekt-v]])</f>
        <v>24.608835670902266</v>
      </c>
    </row>
    <row r="343" spans="1:38" x14ac:dyDescent="0.25">
      <c r="A343" s="2" t="s">
        <v>340</v>
      </c>
      <c r="B343">
        <f>'Rådata-K'!M342</f>
        <v>11</v>
      </c>
      <c r="C343" s="7">
        <f>'Rådata-K'!L342</f>
        <v>295.2</v>
      </c>
      <c r="D343" s="34">
        <f>'Rådata-K'!N342</f>
        <v>5.2172332303217601</v>
      </c>
      <c r="E343" s="34">
        <f>'Rådata-K'!O342</f>
        <v>-5.7471264367816133E-2</v>
      </c>
      <c r="F343" s="34">
        <f>'Rådata-K'!P342</f>
        <v>7.4912891986062713E-2</v>
      </c>
      <c r="G343" s="34">
        <f>'Rådata-K'!Q342</f>
        <v>0.27526132404181186</v>
      </c>
      <c r="H343" s="34">
        <f>'Rådata-K'!R342</f>
        <v>0.11244979919678721</v>
      </c>
      <c r="I343" s="34">
        <f>'Rådata-K'!S342</f>
        <v>0.96598639455782309</v>
      </c>
      <c r="J343" s="22">
        <f>'Rådata-K'!K342</f>
        <v>334000</v>
      </c>
      <c r="K343" s="22">
        <f>Tabell2[[#This Row],[NIBR11]]</f>
        <v>11</v>
      </c>
      <c r="L343" s="32">
        <f>IF(Tabell2[[#This Row],[ReisetidOslo]]&lt;=C$434,C$434,IF(Tabell2[[#This Row],[ReisetidOslo]]&gt;=C$435,C$435,Tabell2[[#This Row],[ReisetidOslo]]))</f>
        <v>280.45666666669001</v>
      </c>
      <c r="M343" s="32">
        <f>IF(Tabell2[[#This Row],[Beftettotal]]&lt;=D$434,D$434,IF(Tabell2[[#This Row],[Beftettotal]]&gt;=D$435,D$435,Tabell2[[#This Row],[Beftettotal]]))</f>
        <v>5.2172332303217601</v>
      </c>
      <c r="N343" s="34">
        <f>IF(Tabell2[[#This Row],[Befvekst10]]&lt;=E$434,E$434,IF(Tabell2[[#This Row],[Befvekst10]]&gt;=E$435,E$435,Tabell2[[#This Row],[Befvekst10]]))</f>
        <v>-5.7471264367816133E-2</v>
      </c>
      <c r="O343" s="34">
        <f>IF(Tabell2[[#This Row],[Kvinneandel]]&lt;=F$434,F$434,IF(Tabell2[[#This Row],[Kvinneandel]]&gt;=F$435,F$435,Tabell2[[#This Row],[Kvinneandel]]))</f>
        <v>9.0490197137593403E-2</v>
      </c>
      <c r="P343" s="34">
        <f>IF(Tabell2[[#This Row],[Eldreandel]]&lt;=G$434,G$434,IF(Tabell2[[#This Row],[Eldreandel]]&gt;=G$435,G$435,Tabell2[[#This Row],[Eldreandel]]))</f>
        <v>0.21438492803547596</v>
      </c>
      <c r="Q343" s="34">
        <f>IF(Tabell2[[#This Row],[Sysselsettingsvekst10]]&lt;=H$434,H$434,IF(Tabell2[[#This Row],[Sysselsettingsvekst10]]&gt;=H$435,H$435,Tabell2[[#This Row],[Sysselsettingsvekst10]]))</f>
        <v>0.11244979919678721</v>
      </c>
      <c r="R343" s="34">
        <f>IF(Tabell2[[#This Row],[Yrkesaktivandel]]&lt;=I$434,I$434,IF(Tabell2[[#This Row],[Yrkesaktivandel]]&gt;=I$435,I$435,Tabell2[[#This Row],[Yrkesaktivandel]]))</f>
        <v>0.96203284815106216</v>
      </c>
      <c r="S343" s="22">
        <f>IF(Tabell2[[#This Row],[Inntekt]]&lt;=J$434,J$434,IF(Tabell2[[#This Row],[Inntekt]]&gt;=J$435,J$435,Tabell2[[#This Row],[Inntekt]]))</f>
        <v>334000</v>
      </c>
      <c r="T343" s="22">
        <f>IF(Tabell2[[#This Row],[NIBR11-T]]&lt;=K$437,100,IF(Tabell2[[#This Row],[NIBR11-T]]&gt;=K$436,0,100*(K$436-Tabell2[[#This Row],[NIBR11-T]])/K$439))</f>
        <v>0</v>
      </c>
      <c r="U343" s="7">
        <f>IF(Tabell2[[#This Row],[ReisetidOslo-T]]&lt;=L$437,100,IF(Tabell2[[#This Row],[ReisetidOslo-T]]&gt;=L$436,0,100*(L$436-Tabell2[[#This Row],[ReisetidOslo-T]])/L$439))</f>
        <v>0</v>
      </c>
      <c r="V343" s="7">
        <f>100-(M$436-Tabell2[[#This Row],[Beftettotal-T]])*100/M$439</f>
        <v>3.0072263187995958</v>
      </c>
      <c r="W343" s="7">
        <f>100-(N$436-Tabell2[[#This Row],[Befvekst10-T]])*100/N$439</f>
        <v>7.5393260037692187</v>
      </c>
      <c r="X343" s="7">
        <f>100-(O$436-Tabell2[[#This Row],[Kvinneandel-T]])*100/O$439</f>
        <v>0</v>
      </c>
      <c r="Y343" s="7">
        <f>(P$436-Tabell2[[#This Row],[Eldreandel-T]])*100/P$439</f>
        <v>0</v>
      </c>
      <c r="Z343" s="7">
        <f>100-(Q$436-Tabell2[[#This Row],[Sysselsettingsvekst10-T]])*100/Q$439</f>
        <v>54.206977511420064</v>
      </c>
      <c r="AA343" s="7">
        <f>100-(R$436-Tabell2[[#This Row],[Yrkesaktivandel-T]])*100/R$439</f>
        <v>100</v>
      </c>
      <c r="AB343" s="7">
        <f>100-(S$436-Tabell2[[#This Row],[Inntekt-T]])*100/S$439</f>
        <v>2.7397260273972535</v>
      </c>
      <c r="AC343" s="55">
        <f>Tabell2[[#This Row],[NIBR11-I]]*Vekter!$B$3</f>
        <v>0</v>
      </c>
      <c r="AD343" s="55">
        <f>Tabell2[[#This Row],[ReisetidOslo-I]]*Vekter!$C$3</f>
        <v>0</v>
      </c>
      <c r="AE343" s="55">
        <f>Tabell2[[#This Row],[Beftettotal-I]]*Vekter!$D$3</f>
        <v>0.30072263187995962</v>
      </c>
      <c r="AF343" s="55">
        <f>Tabell2[[#This Row],[Befvekst10-I]]*Vekter!$E$3</f>
        <v>1.5078652007538438</v>
      </c>
      <c r="AG343" s="55">
        <f>Tabell2[[#This Row],[Kvinneandel-I]]*Vekter!$F$3</f>
        <v>0</v>
      </c>
      <c r="AH343" s="55">
        <f>Tabell2[[#This Row],[Eldreandel-I]]*Vekter!$G$3</f>
        <v>0</v>
      </c>
      <c r="AI343" s="55">
        <f>Tabell2[[#This Row],[Sysselsettingsvekst10-I]]*Vekter!$H$3</f>
        <v>5.4206977511420069</v>
      </c>
      <c r="AJ343" s="55">
        <f>Tabell2[[#This Row],[Yrkesaktivandel-I]]*Vekter!$J$3</f>
        <v>10</v>
      </c>
      <c r="AK343" s="55">
        <f>Tabell2[[#This Row],[Inntekt-I]]*Vekter!$L$3</f>
        <v>0.27397260273972535</v>
      </c>
      <c r="AL343" s="56">
        <f>SUM(Tabell2[[#This Row],[NIBR11-v]:[Inntekt-v]])</f>
        <v>17.503258186515538</v>
      </c>
    </row>
    <row r="344" spans="1:38" x14ac:dyDescent="0.25">
      <c r="A344" s="2" t="s">
        <v>341</v>
      </c>
      <c r="B344">
        <f>'Rådata-K'!M343</f>
        <v>6</v>
      </c>
      <c r="C344" s="7">
        <f>'Rådata-K'!L343</f>
        <v>216.03333333329999</v>
      </c>
      <c r="D344" s="34">
        <f>'Rådata-K'!N343</f>
        <v>18.513960674925478</v>
      </c>
      <c r="E344" s="34">
        <f>'Rådata-K'!O343</f>
        <v>-3.8257798705120249E-3</v>
      </c>
      <c r="F344" s="34">
        <f>'Rådata-K'!P343</f>
        <v>0.10324963072378139</v>
      </c>
      <c r="G344" s="34">
        <f>'Rådata-K'!Q343</f>
        <v>0.16115214180206794</v>
      </c>
      <c r="H344" s="34">
        <f>'Rådata-K'!R343</f>
        <v>7.2735804786485225E-2</v>
      </c>
      <c r="I344" s="34">
        <f>'Rådata-K'!S343</f>
        <v>0.88948069241011984</v>
      </c>
      <c r="J344" s="22">
        <f>'Rådata-K'!K343</f>
        <v>358900</v>
      </c>
      <c r="K344" s="22">
        <f>Tabell2[[#This Row],[NIBR11]]</f>
        <v>6</v>
      </c>
      <c r="L344" s="32">
        <f>IF(Tabell2[[#This Row],[ReisetidOslo]]&lt;=C$434,C$434,IF(Tabell2[[#This Row],[ReisetidOslo]]&gt;=C$435,C$435,Tabell2[[#This Row],[ReisetidOslo]]))</f>
        <v>216.03333333329999</v>
      </c>
      <c r="M344" s="32">
        <f>IF(Tabell2[[#This Row],[Beftettotal]]&lt;=D$434,D$434,IF(Tabell2[[#This Row],[Beftettotal]]&gt;=D$435,D$435,Tabell2[[#This Row],[Beftettotal]]))</f>
        <v>18.513960674925478</v>
      </c>
      <c r="N344" s="34">
        <f>IF(Tabell2[[#This Row],[Befvekst10]]&lt;=E$434,E$434,IF(Tabell2[[#This Row],[Befvekst10]]&gt;=E$435,E$435,Tabell2[[#This Row],[Befvekst10]]))</f>
        <v>-3.8257798705120249E-3</v>
      </c>
      <c r="O344" s="34">
        <f>IF(Tabell2[[#This Row],[Kvinneandel]]&lt;=F$434,F$434,IF(Tabell2[[#This Row],[Kvinneandel]]&gt;=F$435,F$435,Tabell2[[#This Row],[Kvinneandel]]))</f>
        <v>0.10324963072378139</v>
      </c>
      <c r="P344" s="34">
        <f>IF(Tabell2[[#This Row],[Eldreandel]]&lt;=G$434,G$434,IF(Tabell2[[#This Row],[Eldreandel]]&gt;=G$435,G$435,Tabell2[[#This Row],[Eldreandel]]))</f>
        <v>0.16115214180206794</v>
      </c>
      <c r="Q344" s="34">
        <f>IF(Tabell2[[#This Row],[Sysselsettingsvekst10]]&lt;=H$434,H$434,IF(Tabell2[[#This Row],[Sysselsettingsvekst10]]&gt;=H$435,H$435,Tabell2[[#This Row],[Sysselsettingsvekst10]]))</f>
        <v>7.2735804786485225E-2</v>
      </c>
      <c r="R344" s="34">
        <f>IF(Tabell2[[#This Row],[Yrkesaktivandel]]&lt;=I$434,I$434,IF(Tabell2[[#This Row],[Yrkesaktivandel]]&gt;=I$435,I$435,Tabell2[[#This Row],[Yrkesaktivandel]]))</f>
        <v>0.88948069241011984</v>
      </c>
      <c r="S344" s="22">
        <f>IF(Tabell2[[#This Row],[Inntekt]]&lt;=J$434,J$434,IF(Tabell2[[#This Row],[Inntekt]]&gt;=J$435,J$435,Tabell2[[#This Row],[Inntekt]]))</f>
        <v>358900</v>
      </c>
      <c r="T344" s="22">
        <f>IF(Tabell2[[#This Row],[NIBR11-T]]&lt;=K$437,100,IF(Tabell2[[#This Row],[NIBR11-T]]&gt;=K$436,0,100*(K$436-Tabell2[[#This Row],[NIBR11-T]])/K$439))</f>
        <v>50</v>
      </c>
      <c r="U344" s="7">
        <f>IF(Tabell2[[#This Row],[ReisetidOslo-T]]&lt;=L$437,100,IF(Tabell2[[#This Row],[ReisetidOslo-T]]&gt;=L$436,0,100*(L$436-Tabell2[[#This Row],[ReisetidOslo-T]])/L$439))</f>
        <v>28.266179159071335</v>
      </c>
      <c r="V344" s="7">
        <f>100-(M$436-Tabell2[[#This Row],[Beftettotal-T]])*100/M$439</f>
        <v>13.293186134884635</v>
      </c>
      <c r="W344" s="7">
        <f>100-(N$436-Tabell2[[#This Row],[Befvekst10-T]])*100/N$439</f>
        <v>29.138959030701997</v>
      </c>
      <c r="X344" s="7">
        <f>100-(O$436-Tabell2[[#This Row],[Kvinneandel-T]])*100/O$439</f>
        <v>33.716566810329581</v>
      </c>
      <c r="Y344" s="7">
        <f>(P$436-Tabell2[[#This Row],[Eldreandel-T]])*100/P$439</f>
        <v>58.32992870040686</v>
      </c>
      <c r="Z344" s="7">
        <f>100-(Q$436-Tabell2[[#This Row],[Sysselsettingsvekst10-T]])*100/Q$439</f>
        <v>42.390439686377725</v>
      </c>
      <c r="AA344" s="7">
        <f>100-(R$436-Tabell2[[#This Row],[Yrkesaktivandel-T]])*100/R$439</f>
        <v>44.215246098844631</v>
      </c>
      <c r="AB344" s="7">
        <f>100-(S$436-Tabell2[[#This Row],[Inntekt-T]])*100/S$439</f>
        <v>31.646157418156491</v>
      </c>
      <c r="AC344" s="55">
        <f>Tabell2[[#This Row],[NIBR11-I]]*Vekter!$B$3</f>
        <v>10</v>
      </c>
      <c r="AD344" s="55">
        <f>Tabell2[[#This Row],[ReisetidOslo-I]]*Vekter!$C$3</f>
        <v>2.8266179159071338</v>
      </c>
      <c r="AE344" s="55">
        <f>Tabell2[[#This Row],[Beftettotal-I]]*Vekter!$D$3</f>
        <v>1.3293186134884636</v>
      </c>
      <c r="AF344" s="55">
        <f>Tabell2[[#This Row],[Befvekst10-I]]*Vekter!$E$3</f>
        <v>5.8277918061404002</v>
      </c>
      <c r="AG344" s="55">
        <f>Tabell2[[#This Row],[Kvinneandel-I]]*Vekter!$F$3</f>
        <v>1.6858283405164791</v>
      </c>
      <c r="AH344" s="55">
        <f>Tabell2[[#This Row],[Eldreandel-I]]*Vekter!$G$3</f>
        <v>2.9164964350203433</v>
      </c>
      <c r="AI344" s="55">
        <f>Tabell2[[#This Row],[Sysselsettingsvekst10-I]]*Vekter!$H$3</f>
        <v>4.2390439686377723</v>
      </c>
      <c r="AJ344" s="55">
        <f>Tabell2[[#This Row],[Yrkesaktivandel-I]]*Vekter!$J$3</f>
        <v>4.4215246098844636</v>
      </c>
      <c r="AK344" s="55">
        <f>Tabell2[[#This Row],[Inntekt-I]]*Vekter!$L$3</f>
        <v>3.1646157418156493</v>
      </c>
      <c r="AL344" s="56">
        <f>SUM(Tabell2[[#This Row],[NIBR11-v]:[Inntekt-v]])</f>
        <v>36.411237431410711</v>
      </c>
    </row>
    <row r="345" spans="1:38" x14ac:dyDescent="0.25">
      <c r="A345" s="2" t="s">
        <v>342</v>
      </c>
      <c r="B345">
        <f>'Rådata-K'!M344</f>
        <v>4</v>
      </c>
      <c r="C345" s="7">
        <f>'Rådata-K'!L344</f>
        <v>187.86666666667</v>
      </c>
      <c r="D345" s="34">
        <f>'Rådata-K'!N344</f>
        <v>35.968464432897328</v>
      </c>
      <c r="E345" s="34">
        <f>'Rådata-K'!O344</f>
        <v>0.12993650650695732</v>
      </c>
      <c r="F345" s="34">
        <f>'Rådata-K'!P344</f>
        <v>0.13306764969612433</v>
      </c>
      <c r="G345" s="34">
        <f>'Rådata-K'!Q344</f>
        <v>0.12463883630566902</v>
      </c>
      <c r="H345" s="34">
        <f>'Rådata-K'!R344</f>
        <v>0.12592981888745158</v>
      </c>
      <c r="I345" s="34">
        <f>'Rådata-K'!S344</f>
        <v>0.88569275628214794</v>
      </c>
      <c r="J345" s="22">
        <f>'Rådata-K'!K344</f>
        <v>405800</v>
      </c>
      <c r="K345" s="22">
        <f>Tabell2[[#This Row],[NIBR11]]</f>
        <v>4</v>
      </c>
      <c r="L345" s="32">
        <f>IF(Tabell2[[#This Row],[ReisetidOslo]]&lt;=C$434,C$434,IF(Tabell2[[#This Row],[ReisetidOslo]]&gt;=C$435,C$435,Tabell2[[#This Row],[ReisetidOslo]]))</f>
        <v>187.86666666667</v>
      </c>
      <c r="M345" s="32">
        <f>IF(Tabell2[[#This Row],[Beftettotal]]&lt;=D$434,D$434,IF(Tabell2[[#This Row],[Beftettotal]]&gt;=D$435,D$435,Tabell2[[#This Row],[Beftettotal]]))</f>
        <v>35.968464432897328</v>
      </c>
      <c r="N345" s="34">
        <f>IF(Tabell2[[#This Row],[Befvekst10]]&lt;=E$434,E$434,IF(Tabell2[[#This Row],[Befvekst10]]&gt;=E$435,E$435,Tabell2[[#This Row],[Befvekst10]]))</f>
        <v>0.12993650650695732</v>
      </c>
      <c r="O345" s="34">
        <f>IF(Tabell2[[#This Row],[Kvinneandel]]&lt;=F$434,F$434,IF(Tabell2[[#This Row],[Kvinneandel]]&gt;=F$435,F$435,Tabell2[[#This Row],[Kvinneandel]]))</f>
        <v>0.12833341426573511</v>
      </c>
      <c r="P345" s="34">
        <f>IF(Tabell2[[#This Row],[Eldreandel]]&lt;=G$434,G$434,IF(Tabell2[[#This Row],[Eldreandel]]&gt;=G$435,G$435,Tabell2[[#This Row],[Eldreandel]]))</f>
        <v>0.12463883630566902</v>
      </c>
      <c r="Q345" s="34">
        <f>IF(Tabell2[[#This Row],[Sysselsettingsvekst10]]&lt;=H$434,H$434,IF(Tabell2[[#This Row],[Sysselsettingsvekst10]]&gt;=H$435,H$435,Tabell2[[#This Row],[Sysselsettingsvekst10]]))</f>
        <v>0.12592981888745158</v>
      </c>
      <c r="R345" s="34">
        <f>IF(Tabell2[[#This Row],[Yrkesaktivandel]]&lt;=I$434,I$434,IF(Tabell2[[#This Row],[Yrkesaktivandel]]&gt;=I$435,I$435,Tabell2[[#This Row],[Yrkesaktivandel]]))</f>
        <v>0.88569275628214794</v>
      </c>
      <c r="S345" s="22">
        <f>IF(Tabell2[[#This Row],[Inntekt]]&lt;=J$434,J$434,IF(Tabell2[[#This Row],[Inntekt]]&gt;=J$435,J$435,Tabell2[[#This Row],[Inntekt]]))</f>
        <v>405800</v>
      </c>
      <c r="T345" s="22">
        <f>IF(Tabell2[[#This Row],[NIBR11-T]]&lt;=K$437,100,IF(Tabell2[[#This Row],[NIBR11-T]]&gt;=K$436,0,100*(K$436-Tabell2[[#This Row],[NIBR11-T]])/K$439))</f>
        <v>70</v>
      </c>
      <c r="U345" s="7">
        <f>IF(Tabell2[[#This Row],[ReisetidOslo-T]]&lt;=L$437,100,IF(Tabell2[[#This Row],[ReisetidOslo-T]]&gt;=L$436,0,100*(L$436-Tabell2[[#This Row],[ReisetidOslo-T]])/L$439))</f>
        <v>40.624497257774266</v>
      </c>
      <c r="V345" s="7">
        <f>100-(M$436-Tabell2[[#This Row],[Beftettotal-T]])*100/M$439</f>
        <v>26.795480215302618</v>
      </c>
      <c r="W345" s="7">
        <f>100-(N$436-Tabell2[[#This Row],[Befvekst10-T]])*100/N$439</f>
        <v>82.996545101008138</v>
      </c>
      <c r="X345" s="7">
        <f>100-(O$436-Tabell2[[#This Row],[Kvinneandel-T]])*100/O$439</f>
        <v>100</v>
      </c>
      <c r="Y345" s="7">
        <f>(P$436-Tabell2[[#This Row],[Eldreandel-T]])*100/P$439</f>
        <v>98.339453974597433</v>
      </c>
      <c r="Z345" s="7">
        <f>100-(Q$436-Tabell2[[#This Row],[Sysselsettingsvekst10-T]])*100/Q$439</f>
        <v>58.217834765197878</v>
      </c>
      <c r="AA345" s="7">
        <f>100-(R$436-Tabell2[[#This Row],[Yrkesaktivandel-T]])*100/R$439</f>
        <v>41.302733265363607</v>
      </c>
      <c r="AB345" s="7">
        <f>100-(S$436-Tabell2[[#This Row],[Inntekt-T]])*100/S$439</f>
        <v>86.0924077083817</v>
      </c>
      <c r="AC345" s="55">
        <f>Tabell2[[#This Row],[NIBR11-I]]*Vekter!$B$3</f>
        <v>14</v>
      </c>
      <c r="AD345" s="55">
        <f>Tabell2[[#This Row],[ReisetidOslo-I]]*Vekter!$C$3</f>
        <v>4.0624497257774266</v>
      </c>
      <c r="AE345" s="55">
        <f>Tabell2[[#This Row],[Beftettotal-I]]*Vekter!$D$3</f>
        <v>2.6795480215302621</v>
      </c>
      <c r="AF345" s="55">
        <f>Tabell2[[#This Row],[Befvekst10-I]]*Vekter!$E$3</f>
        <v>16.599309020201627</v>
      </c>
      <c r="AG345" s="55">
        <f>Tabell2[[#This Row],[Kvinneandel-I]]*Vekter!$F$3</f>
        <v>5</v>
      </c>
      <c r="AH345" s="55">
        <f>Tabell2[[#This Row],[Eldreandel-I]]*Vekter!$G$3</f>
        <v>4.9169726987298716</v>
      </c>
      <c r="AI345" s="55">
        <f>Tabell2[[#This Row],[Sysselsettingsvekst10-I]]*Vekter!$H$3</f>
        <v>5.821783476519788</v>
      </c>
      <c r="AJ345" s="55">
        <f>Tabell2[[#This Row],[Yrkesaktivandel-I]]*Vekter!$J$3</f>
        <v>4.1302733265363605</v>
      </c>
      <c r="AK345" s="55">
        <f>Tabell2[[#This Row],[Inntekt-I]]*Vekter!$L$3</f>
        <v>8.60924077083817</v>
      </c>
      <c r="AL345" s="56">
        <f>SUM(Tabell2[[#This Row],[NIBR11-v]:[Inntekt-v]])</f>
        <v>65.81957704013351</v>
      </c>
    </row>
    <row r="346" spans="1:38" x14ac:dyDescent="0.25">
      <c r="A346" s="2" t="s">
        <v>343</v>
      </c>
      <c r="B346">
        <f>'Rådata-K'!M345</f>
        <v>5</v>
      </c>
      <c r="C346" s="7">
        <f>'Rådata-K'!L345</f>
        <v>251.65</v>
      </c>
      <c r="D346" s="34">
        <f>'Rådata-K'!N345</f>
        <v>9.3192355982639814</v>
      </c>
      <c r="E346" s="34">
        <f>'Rådata-K'!O345</f>
        <v>1.8420484010371663E-2</v>
      </c>
      <c r="F346" s="34">
        <f>'Rådata-K'!P345</f>
        <v>0.12077653423858271</v>
      </c>
      <c r="G346" s="34">
        <f>'Rådata-K'!Q345</f>
        <v>0.16124754680952633</v>
      </c>
      <c r="H346" s="34">
        <f>'Rådata-K'!R345</f>
        <v>8.7819997704052355E-2</v>
      </c>
      <c r="I346" s="34">
        <f>'Rådata-K'!S345</f>
        <v>0.83465204099982016</v>
      </c>
      <c r="J346" s="22">
        <f>'Rådata-K'!K345</f>
        <v>375700</v>
      </c>
      <c r="K346" s="22">
        <f>Tabell2[[#This Row],[NIBR11]]</f>
        <v>5</v>
      </c>
      <c r="L346" s="32">
        <f>IF(Tabell2[[#This Row],[ReisetidOslo]]&lt;=C$434,C$434,IF(Tabell2[[#This Row],[ReisetidOslo]]&gt;=C$435,C$435,Tabell2[[#This Row],[ReisetidOslo]]))</f>
        <v>251.65</v>
      </c>
      <c r="M346" s="32">
        <f>IF(Tabell2[[#This Row],[Beftettotal]]&lt;=D$434,D$434,IF(Tabell2[[#This Row],[Beftettotal]]&gt;=D$435,D$435,Tabell2[[#This Row],[Beftettotal]]))</f>
        <v>9.3192355982639814</v>
      </c>
      <c r="N346" s="34">
        <f>IF(Tabell2[[#This Row],[Befvekst10]]&lt;=E$434,E$434,IF(Tabell2[[#This Row],[Befvekst10]]&gt;=E$435,E$435,Tabell2[[#This Row],[Befvekst10]]))</f>
        <v>1.8420484010371663E-2</v>
      </c>
      <c r="O346" s="34">
        <f>IF(Tabell2[[#This Row],[Kvinneandel]]&lt;=F$434,F$434,IF(Tabell2[[#This Row],[Kvinneandel]]&gt;=F$435,F$435,Tabell2[[#This Row],[Kvinneandel]]))</f>
        <v>0.12077653423858271</v>
      </c>
      <c r="P346" s="34">
        <f>IF(Tabell2[[#This Row],[Eldreandel]]&lt;=G$434,G$434,IF(Tabell2[[#This Row],[Eldreandel]]&gt;=G$435,G$435,Tabell2[[#This Row],[Eldreandel]]))</f>
        <v>0.16124754680952633</v>
      </c>
      <c r="Q346" s="34">
        <f>IF(Tabell2[[#This Row],[Sysselsettingsvekst10]]&lt;=H$434,H$434,IF(Tabell2[[#This Row],[Sysselsettingsvekst10]]&gt;=H$435,H$435,Tabell2[[#This Row],[Sysselsettingsvekst10]]))</f>
        <v>8.7819997704052355E-2</v>
      </c>
      <c r="R346" s="34">
        <f>IF(Tabell2[[#This Row],[Yrkesaktivandel]]&lt;=I$434,I$434,IF(Tabell2[[#This Row],[Yrkesaktivandel]]&gt;=I$435,I$435,Tabell2[[#This Row],[Yrkesaktivandel]]))</f>
        <v>0.83465204099982016</v>
      </c>
      <c r="S346" s="22">
        <f>IF(Tabell2[[#This Row],[Inntekt]]&lt;=J$434,J$434,IF(Tabell2[[#This Row],[Inntekt]]&gt;=J$435,J$435,Tabell2[[#This Row],[Inntekt]]))</f>
        <v>375700</v>
      </c>
      <c r="T346" s="22">
        <f>IF(Tabell2[[#This Row],[NIBR11-T]]&lt;=K$437,100,IF(Tabell2[[#This Row],[NIBR11-T]]&gt;=K$436,0,100*(K$436-Tabell2[[#This Row],[NIBR11-T]])/K$439))</f>
        <v>60</v>
      </c>
      <c r="U346" s="7">
        <f>IF(Tabell2[[#This Row],[ReisetidOslo-T]]&lt;=L$437,100,IF(Tabell2[[#This Row],[ReisetidOslo-T]]&gt;=L$436,0,100*(L$436-Tabell2[[#This Row],[ReisetidOslo-T]])/L$439))</f>
        <v>12.639122486297794</v>
      </c>
      <c r="V346" s="7">
        <f>100-(M$436-Tabell2[[#This Row],[Beftettotal-T]])*100/M$439</f>
        <v>6.1804154886853553</v>
      </c>
      <c r="W346" s="7">
        <f>100-(N$436-Tabell2[[#This Row],[Befvekst10-T]])*100/N$439</f>
        <v>38.096118063752492</v>
      </c>
      <c r="X346" s="7">
        <f>100-(O$436-Tabell2[[#This Row],[Kvinneandel-T]])*100/O$439</f>
        <v>80.031084562488743</v>
      </c>
      <c r="Y346" s="7">
        <f>(P$436-Tabell2[[#This Row],[Eldreandel-T]])*100/P$439</f>
        <v>58.225388478553562</v>
      </c>
      <c r="Z346" s="7">
        <f>100-(Q$436-Tabell2[[#This Row],[Sysselsettingsvekst10-T]])*100/Q$439</f>
        <v>46.878604093341302</v>
      </c>
      <c r="AA346" s="7">
        <f>100-(R$436-Tabell2[[#This Row],[Yrkesaktivandel-T]])*100/R$439</f>
        <v>2.0579484359471252</v>
      </c>
      <c r="AB346" s="7">
        <f>100-(S$436-Tabell2[[#This Row],[Inntekt-T]])*100/S$439</f>
        <v>51.149291850475969</v>
      </c>
      <c r="AC346" s="55">
        <f>Tabell2[[#This Row],[NIBR11-I]]*Vekter!$B$3</f>
        <v>12</v>
      </c>
      <c r="AD346" s="55">
        <f>Tabell2[[#This Row],[ReisetidOslo-I]]*Vekter!$C$3</f>
        <v>1.2639122486297794</v>
      </c>
      <c r="AE346" s="55">
        <f>Tabell2[[#This Row],[Beftettotal-I]]*Vekter!$D$3</f>
        <v>0.61804154886853557</v>
      </c>
      <c r="AF346" s="55">
        <f>Tabell2[[#This Row],[Befvekst10-I]]*Vekter!$E$3</f>
        <v>7.6192236127504991</v>
      </c>
      <c r="AG346" s="55">
        <f>Tabell2[[#This Row],[Kvinneandel-I]]*Vekter!$F$3</f>
        <v>4.0015542281244372</v>
      </c>
      <c r="AH346" s="55">
        <f>Tabell2[[#This Row],[Eldreandel-I]]*Vekter!$G$3</f>
        <v>2.9112694239276782</v>
      </c>
      <c r="AI346" s="55">
        <f>Tabell2[[#This Row],[Sysselsettingsvekst10-I]]*Vekter!$H$3</f>
        <v>4.6878604093341307</v>
      </c>
      <c r="AJ346" s="55">
        <f>Tabell2[[#This Row],[Yrkesaktivandel-I]]*Vekter!$J$3</f>
        <v>0.20579484359471253</v>
      </c>
      <c r="AK346" s="55">
        <f>Tabell2[[#This Row],[Inntekt-I]]*Vekter!$L$3</f>
        <v>5.1149291850475969</v>
      </c>
      <c r="AL346" s="56">
        <f>SUM(Tabell2[[#This Row],[NIBR11-v]:[Inntekt-v]])</f>
        <v>38.422585500277364</v>
      </c>
    </row>
    <row r="347" spans="1:38" x14ac:dyDescent="0.25">
      <c r="A347" s="2" t="s">
        <v>344</v>
      </c>
      <c r="B347">
        <f>'Rådata-K'!M346</f>
        <v>11</v>
      </c>
      <c r="C347" s="7">
        <f>'Rådata-K'!L346</f>
        <v>275.45</v>
      </c>
      <c r="D347" s="34">
        <f>'Rådata-K'!N346</f>
        <v>1.1722365038560412</v>
      </c>
      <c r="E347" s="34">
        <f>'Rådata-K'!O346</f>
        <v>-0.16647919010123735</v>
      </c>
      <c r="F347" s="34">
        <f>'Rådata-K'!P346</f>
        <v>7.9622132253711203E-2</v>
      </c>
      <c r="G347" s="34">
        <f>'Rådata-K'!Q346</f>
        <v>0.22469635627530365</v>
      </c>
      <c r="H347" s="34">
        <f>'Rådata-K'!R346</f>
        <v>-0.30466472303206993</v>
      </c>
      <c r="I347" s="34">
        <f>'Rådata-K'!S346</f>
        <v>0.84895833333333337</v>
      </c>
      <c r="J347" s="22">
        <f>'Rådata-K'!K346</f>
        <v>316600</v>
      </c>
      <c r="K347" s="22">
        <f>Tabell2[[#This Row],[NIBR11]]</f>
        <v>11</v>
      </c>
      <c r="L347" s="32">
        <f>IF(Tabell2[[#This Row],[ReisetidOslo]]&lt;=C$434,C$434,IF(Tabell2[[#This Row],[ReisetidOslo]]&gt;=C$435,C$435,Tabell2[[#This Row],[ReisetidOslo]]))</f>
        <v>275.45</v>
      </c>
      <c r="M347" s="32">
        <f>IF(Tabell2[[#This Row],[Beftettotal]]&lt;=D$434,D$434,IF(Tabell2[[#This Row],[Beftettotal]]&gt;=D$435,D$435,Tabell2[[#This Row],[Beftettotal]]))</f>
        <v>1.3297721240876861</v>
      </c>
      <c r="N347" s="34">
        <f>IF(Tabell2[[#This Row],[Befvekst10]]&lt;=E$434,E$434,IF(Tabell2[[#This Row],[Befvekst10]]&gt;=E$435,E$435,Tabell2[[#This Row],[Befvekst10]]))</f>
        <v>-7.6196156394963507E-2</v>
      </c>
      <c r="O347" s="34">
        <f>IF(Tabell2[[#This Row],[Kvinneandel]]&lt;=F$434,F$434,IF(Tabell2[[#This Row],[Kvinneandel]]&gt;=F$435,F$435,Tabell2[[#This Row],[Kvinneandel]]))</f>
        <v>9.0490197137593403E-2</v>
      </c>
      <c r="P347" s="34">
        <f>IF(Tabell2[[#This Row],[Eldreandel]]&lt;=G$434,G$434,IF(Tabell2[[#This Row],[Eldreandel]]&gt;=G$435,G$435,Tabell2[[#This Row],[Eldreandel]]))</f>
        <v>0.21438492803547596</v>
      </c>
      <c r="Q347" s="34">
        <f>IF(Tabell2[[#This Row],[Sysselsettingsvekst10]]&lt;=H$434,H$434,IF(Tabell2[[#This Row],[Sysselsettingsvekst10]]&gt;=H$435,H$435,Tabell2[[#This Row],[Sysselsettingsvekst10]]))</f>
        <v>-6.9733479337269061E-2</v>
      </c>
      <c r="R347" s="34">
        <f>IF(Tabell2[[#This Row],[Yrkesaktivandel]]&lt;=I$434,I$434,IF(Tabell2[[#This Row],[Yrkesaktivandel]]&gt;=I$435,I$435,Tabell2[[#This Row],[Yrkesaktivandel]]))</f>
        <v>0.84895833333333337</v>
      </c>
      <c r="S347" s="22">
        <f>IF(Tabell2[[#This Row],[Inntekt]]&lt;=J$434,J$434,IF(Tabell2[[#This Row],[Inntekt]]&gt;=J$435,J$435,Tabell2[[#This Row],[Inntekt]]))</f>
        <v>331640</v>
      </c>
      <c r="T347" s="22">
        <f>IF(Tabell2[[#This Row],[NIBR11-T]]&lt;=K$437,100,IF(Tabell2[[#This Row],[NIBR11-T]]&gt;=K$436,0,100*(K$436-Tabell2[[#This Row],[NIBR11-T]])/K$439))</f>
        <v>0</v>
      </c>
      <c r="U347" s="7">
        <f>IF(Tabell2[[#This Row],[ReisetidOslo-T]]&lt;=L$437,100,IF(Tabell2[[#This Row],[ReisetidOslo-T]]&gt;=L$436,0,100*(L$436-Tabell2[[#This Row],[ReisetidOslo-T]])/L$439))</f>
        <v>2.1967093235932036</v>
      </c>
      <c r="V347" s="7">
        <f>100-(M$436-Tabell2[[#This Row],[Beftettotal-T]])*100/M$439</f>
        <v>0</v>
      </c>
      <c r="W347" s="7">
        <f>100-(N$436-Tabell2[[#This Row],[Befvekst10-T]])*100/N$439</f>
        <v>0</v>
      </c>
      <c r="X347" s="7">
        <f>100-(O$436-Tabell2[[#This Row],[Kvinneandel-T]])*100/O$439</f>
        <v>0</v>
      </c>
      <c r="Y347" s="7">
        <f>(P$436-Tabell2[[#This Row],[Eldreandel-T]])*100/P$439</f>
        <v>0</v>
      </c>
      <c r="Z347" s="7">
        <f>100-(Q$436-Tabell2[[#This Row],[Sysselsettingsvekst10-T]])*100/Q$439</f>
        <v>0</v>
      </c>
      <c r="AA347" s="7">
        <f>100-(R$436-Tabell2[[#This Row],[Yrkesaktivandel-T]])*100/R$439</f>
        <v>13.057938565980635</v>
      </c>
      <c r="AB347" s="7">
        <f>100-(S$436-Tabell2[[#This Row],[Inntekt-T]])*100/S$439</f>
        <v>0</v>
      </c>
      <c r="AC347" s="55">
        <f>Tabell2[[#This Row],[NIBR11-I]]*Vekter!$B$3</f>
        <v>0</v>
      </c>
      <c r="AD347" s="55">
        <f>Tabell2[[#This Row],[ReisetidOslo-I]]*Vekter!$C$3</f>
        <v>0.21967093235932036</v>
      </c>
      <c r="AE347" s="55">
        <f>Tabell2[[#This Row],[Beftettotal-I]]*Vekter!$D$3</f>
        <v>0</v>
      </c>
      <c r="AF347" s="55">
        <f>Tabell2[[#This Row],[Befvekst10-I]]*Vekter!$E$3</f>
        <v>0</v>
      </c>
      <c r="AG347" s="55">
        <f>Tabell2[[#This Row],[Kvinneandel-I]]*Vekter!$F$3</f>
        <v>0</v>
      </c>
      <c r="AH347" s="55">
        <f>Tabell2[[#This Row],[Eldreandel-I]]*Vekter!$G$3</f>
        <v>0</v>
      </c>
      <c r="AI347" s="55">
        <f>Tabell2[[#This Row],[Sysselsettingsvekst10-I]]*Vekter!$H$3</f>
        <v>0</v>
      </c>
      <c r="AJ347" s="55">
        <f>Tabell2[[#This Row],[Yrkesaktivandel-I]]*Vekter!$J$3</f>
        <v>1.3057938565980636</v>
      </c>
      <c r="AK347" s="55">
        <f>Tabell2[[#This Row],[Inntekt-I]]*Vekter!$L$3</f>
        <v>0</v>
      </c>
      <c r="AL347" s="56">
        <f>SUM(Tabell2[[#This Row],[NIBR11-v]:[Inntekt-v]])</f>
        <v>1.525464788957384</v>
      </c>
    </row>
    <row r="348" spans="1:38" x14ac:dyDescent="0.25">
      <c r="A348" s="2" t="s">
        <v>345</v>
      </c>
      <c r="B348">
        <f>'Rådata-K'!M347</f>
        <v>7</v>
      </c>
      <c r="C348" s="7">
        <f>'Rådata-K'!L347</f>
        <v>233.98333333330001</v>
      </c>
      <c r="D348" s="34">
        <f>'Rådata-K'!N347</f>
        <v>10.565399979514494</v>
      </c>
      <c r="E348" s="34">
        <f>'Rådata-K'!O347</f>
        <v>-5.7831325301205272E-3</v>
      </c>
      <c r="F348" s="34">
        <f>'Rådata-K'!P347</f>
        <v>9.7915656810470195E-2</v>
      </c>
      <c r="G348" s="34">
        <f>'Rådata-K'!Q347</f>
        <v>0.18225884634028114</v>
      </c>
      <c r="H348" s="34">
        <f>'Rådata-K'!R347</f>
        <v>3.4400948991696323E-2</v>
      </c>
      <c r="I348" s="34">
        <f>'Rådata-K'!S347</f>
        <v>0.92053571428571423</v>
      </c>
      <c r="J348" s="22">
        <f>'Rådata-K'!K347</f>
        <v>359000</v>
      </c>
      <c r="K348" s="22">
        <f>Tabell2[[#This Row],[NIBR11]]</f>
        <v>7</v>
      </c>
      <c r="L348" s="32">
        <f>IF(Tabell2[[#This Row],[ReisetidOslo]]&lt;=C$434,C$434,IF(Tabell2[[#This Row],[ReisetidOslo]]&gt;=C$435,C$435,Tabell2[[#This Row],[ReisetidOslo]]))</f>
        <v>233.98333333330001</v>
      </c>
      <c r="M348" s="32">
        <f>IF(Tabell2[[#This Row],[Beftettotal]]&lt;=D$434,D$434,IF(Tabell2[[#This Row],[Beftettotal]]&gt;=D$435,D$435,Tabell2[[#This Row],[Beftettotal]]))</f>
        <v>10.565399979514494</v>
      </c>
      <c r="N348" s="34">
        <f>IF(Tabell2[[#This Row],[Befvekst10]]&lt;=E$434,E$434,IF(Tabell2[[#This Row],[Befvekst10]]&gt;=E$435,E$435,Tabell2[[#This Row],[Befvekst10]]))</f>
        <v>-5.7831325301205272E-3</v>
      </c>
      <c r="O348" s="34">
        <f>IF(Tabell2[[#This Row],[Kvinneandel]]&lt;=F$434,F$434,IF(Tabell2[[#This Row],[Kvinneandel]]&gt;=F$435,F$435,Tabell2[[#This Row],[Kvinneandel]]))</f>
        <v>9.7915656810470195E-2</v>
      </c>
      <c r="P348" s="34">
        <f>IF(Tabell2[[#This Row],[Eldreandel]]&lt;=G$434,G$434,IF(Tabell2[[#This Row],[Eldreandel]]&gt;=G$435,G$435,Tabell2[[#This Row],[Eldreandel]]))</f>
        <v>0.18225884634028114</v>
      </c>
      <c r="Q348" s="34">
        <f>IF(Tabell2[[#This Row],[Sysselsettingsvekst10]]&lt;=H$434,H$434,IF(Tabell2[[#This Row],[Sysselsettingsvekst10]]&gt;=H$435,H$435,Tabell2[[#This Row],[Sysselsettingsvekst10]]))</f>
        <v>3.4400948991696323E-2</v>
      </c>
      <c r="R348" s="34">
        <f>IF(Tabell2[[#This Row],[Yrkesaktivandel]]&lt;=I$434,I$434,IF(Tabell2[[#This Row],[Yrkesaktivandel]]&gt;=I$435,I$435,Tabell2[[#This Row],[Yrkesaktivandel]]))</f>
        <v>0.92053571428571423</v>
      </c>
      <c r="S348" s="22">
        <f>IF(Tabell2[[#This Row],[Inntekt]]&lt;=J$434,J$434,IF(Tabell2[[#This Row],[Inntekt]]&gt;=J$435,J$435,Tabell2[[#This Row],[Inntekt]]))</f>
        <v>359000</v>
      </c>
      <c r="T348" s="22">
        <f>IF(Tabell2[[#This Row],[NIBR11-T]]&lt;=K$437,100,IF(Tabell2[[#This Row],[NIBR11-T]]&gt;=K$436,0,100*(K$436-Tabell2[[#This Row],[NIBR11-T]])/K$439))</f>
        <v>40</v>
      </c>
      <c r="U348" s="7">
        <f>IF(Tabell2[[#This Row],[ReisetidOslo-T]]&lt;=L$437,100,IF(Tabell2[[#This Row],[ReisetidOslo-T]]&gt;=L$436,0,100*(L$436-Tabell2[[#This Row],[ReisetidOslo-T]])/L$439))</f>
        <v>20.390493601485296</v>
      </c>
      <c r="V348" s="7">
        <f>100-(M$436-Tabell2[[#This Row],[Beftettotal-T]])*100/M$439</f>
        <v>7.1444118406585062</v>
      </c>
      <c r="W348" s="7">
        <f>100-(N$436-Tabell2[[#This Row],[Befvekst10-T]])*100/N$439</f>
        <v>28.350857300463019</v>
      </c>
      <c r="X348" s="7">
        <f>100-(O$436-Tabell2[[#This Row],[Kvinneandel-T]])*100/O$439</f>
        <v>19.621639586648485</v>
      </c>
      <c r="Y348" s="7">
        <f>(P$436-Tabell2[[#This Row],[Eldreandel-T]])*100/P$439</f>
        <v>35.202216289932302</v>
      </c>
      <c r="Z348" s="7">
        <f>100-(Q$436-Tabell2[[#This Row],[Sysselsettingsvekst10-T]])*100/Q$439</f>
        <v>30.98425201266538</v>
      </c>
      <c r="AA348" s="7">
        <f>100-(R$436-Tabell2[[#This Row],[Yrkesaktivandel-T]])*100/R$439</f>
        <v>68.093196175349533</v>
      </c>
      <c r="AB348" s="7">
        <f>100-(S$436-Tabell2[[#This Row],[Inntekt-T]])*100/S$439</f>
        <v>31.762247504063154</v>
      </c>
      <c r="AC348" s="55">
        <f>Tabell2[[#This Row],[NIBR11-I]]*Vekter!$B$3</f>
        <v>8</v>
      </c>
      <c r="AD348" s="55">
        <f>Tabell2[[#This Row],[ReisetidOslo-I]]*Vekter!$C$3</f>
        <v>2.0390493601485296</v>
      </c>
      <c r="AE348" s="55">
        <f>Tabell2[[#This Row],[Beftettotal-I]]*Vekter!$D$3</f>
        <v>0.71444118406585067</v>
      </c>
      <c r="AF348" s="55">
        <f>Tabell2[[#This Row],[Befvekst10-I]]*Vekter!$E$3</f>
        <v>5.6701714600926039</v>
      </c>
      <c r="AG348" s="55">
        <f>Tabell2[[#This Row],[Kvinneandel-I]]*Vekter!$F$3</f>
        <v>0.98108197933242425</v>
      </c>
      <c r="AH348" s="55">
        <f>Tabell2[[#This Row],[Eldreandel-I]]*Vekter!$G$3</f>
        <v>1.7601108144966151</v>
      </c>
      <c r="AI348" s="55">
        <f>Tabell2[[#This Row],[Sysselsettingsvekst10-I]]*Vekter!$H$3</f>
        <v>3.0984252012665383</v>
      </c>
      <c r="AJ348" s="55">
        <f>Tabell2[[#This Row],[Yrkesaktivandel-I]]*Vekter!$J$3</f>
        <v>6.8093196175349533</v>
      </c>
      <c r="AK348" s="55">
        <f>Tabell2[[#This Row],[Inntekt-I]]*Vekter!$L$3</f>
        <v>3.1762247504063157</v>
      </c>
      <c r="AL348" s="56">
        <f>SUM(Tabell2[[#This Row],[NIBR11-v]:[Inntekt-v]])</f>
        <v>32.248824367343822</v>
      </c>
    </row>
    <row r="349" spans="1:38" x14ac:dyDescent="0.25">
      <c r="A349" s="2" t="s">
        <v>346</v>
      </c>
      <c r="B349">
        <f>'Rådata-K'!M348</f>
        <v>7</v>
      </c>
      <c r="C349" s="7">
        <f>'Rådata-K'!L348</f>
        <v>201.36666666667</v>
      </c>
      <c r="D349" s="34">
        <f>'Rådata-K'!N348</f>
        <v>7.5821140853011721</v>
      </c>
      <c r="E349" s="34">
        <f>'Rådata-K'!O348</f>
        <v>4.6011865524060669E-2</v>
      </c>
      <c r="F349" s="34">
        <f>'Rådata-K'!P348</f>
        <v>0.11217544744139148</v>
      </c>
      <c r="G349" s="34">
        <f>'Rådata-K'!Q348</f>
        <v>0.14645828081673809</v>
      </c>
      <c r="H349" s="34">
        <f>'Rådata-K'!R348</f>
        <v>0.14745465184318318</v>
      </c>
      <c r="I349" s="34">
        <f>'Rådata-K'!S348</f>
        <v>0.88994685562444642</v>
      </c>
      <c r="J349" s="22">
        <f>'Rådata-K'!K348</f>
        <v>368300</v>
      </c>
      <c r="K349" s="22">
        <f>Tabell2[[#This Row],[NIBR11]]</f>
        <v>7</v>
      </c>
      <c r="L349" s="32">
        <f>IF(Tabell2[[#This Row],[ReisetidOslo]]&lt;=C$434,C$434,IF(Tabell2[[#This Row],[ReisetidOslo]]&gt;=C$435,C$435,Tabell2[[#This Row],[ReisetidOslo]]))</f>
        <v>201.36666666667</v>
      </c>
      <c r="M349" s="32">
        <f>IF(Tabell2[[#This Row],[Beftettotal]]&lt;=D$434,D$434,IF(Tabell2[[#This Row],[Beftettotal]]&gt;=D$435,D$435,Tabell2[[#This Row],[Beftettotal]]))</f>
        <v>7.5821140853011721</v>
      </c>
      <c r="N349" s="34">
        <f>IF(Tabell2[[#This Row],[Befvekst10]]&lt;=E$434,E$434,IF(Tabell2[[#This Row],[Befvekst10]]&gt;=E$435,E$435,Tabell2[[#This Row],[Befvekst10]]))</f>
        <v>4.6011865524060669E-2</v>
      </c>
      <c r="O349" s="34">
        <f>IF(Tabell2[[#This Row],[Kvinneandel]]&lt;=F$434,F$434,IF(Tabell2[[#This Row],[Kvinneandel]]&gt;=F$435,F$435,Tabell2[[#This Row],[Kvinneandel]]))</f>
        <v>0.11217544744139148</v>
      </c>
      <c r="P349" s="34">
        <f>IF(Tabell2[[#This Row],[Eldreandel]]&lt;=G$434,G$434,IF(Tabell2[[#This Row],[Eldreandel]]&gt;=G$435,G$435,Tabell2[[#This Row],[Eldreandel]]))</f>
        <v>0.14645828081673809</v>
      </c>
      <c r="Q349" s="34">
        <f>IF(Tabell2[[#This Row],[Sysselsettingsvekst10]]&lt;=H$434,H$434,IF(Tabell2[[#This Row],[Sysselsettingsvekst10]]&gt;=H$435,H$435,Tabell2[[#This Row],[Sysselsettingsvekst10]]))</f>
        <v>0.14745465184318318</v>
      </c>
      <c r="R349" s="34">
        <f>IF(Tabell2[[#This Row],[Yrkesaktivandel]]&lt;=I$434,I$434,IF(Tabell2[[#This Row],[Yrkesaktivandel]]&gt;=I$435,I$435,Tabell2[[#This Row],[Yrkesaktivandel]]))</f>
        <v>0.88994685562444642</v>
      </c>
      <c r="S349" s="22">
        <f>IF(Tabell2[[#This Row],[Inntekt]]&lt;=J$434,J$434,IF(Tabell2[[#This Row],[Inntekt]]&gt;=J$435,J$435,Tabell2[[#This Row],[Inntekt]]))</f>
        <v>368300</v>
      </c>
      <c r="T349" s="22">
        <f>IF(Tabell2[[#This Row],[NIBR11-T]]&lt;=K$437,100,IF(Tabell2[[#This Row],[NIBR11-T]]&gt;=K$436,0,100*(K$436-Tabell2[[#This Row],[NIBR11-T]])/K$439))</f>
        <v>40</v>
      </c>
      <c r="U349" s="7">
        <f>IF(Tabell2[[#This Row],[ReisetidOslo-T]]&lt;=L$437,100,IF(Tabell2[[#This Row],[ReisetidOslo-T]]&gt;=L$436,0,100*(L$436-Tabell2[[#This Row],[ReisetidOslo-T]])/L$439))</f>
        <v>34.701279707500653</v>
      </c>
      <c r="V349" s="7">
        <f>100-(M$436-Tabell2[[#This Row],[Beftettotal-T]])*100/M$439</f>
        <v>4.8366290455599312</v>
      </c>
      <c r="W349" s="7">
        <f>100-(N$436-Tabell2[[#This Row],[Befvekst10-T]])*100/N$439</f>
        <v>49.205416842324055</v>
      </c>
      <c r="X349" s="7">
        <f>100-(O$436-Tabell2[[#This Row],[Kvinneandel-T]])*100/O$439</f>
        <v>57.302872085027012</v>
      </c>
      <c r="Y349" s="7">
        <f>(P$436-Tabell2[[#This Row],[Eldreandel-T]])*100/P$439</f>
        <v>74.430755357308072</v>
      </c>
      <c r="Z349" s="7">
        <f>100-(Q$436-Tabell2[[#This Row],[Sysselsettingsvekst10-T]])*100/Q$439</f>
        <v>64.622353035793736</v>
      </c>
      <c r="AA349" s="7">
        <f>100-(R$436-Tabell2[[#This Row],[Yrkesaktivandel-T]])*100/R$439</f>
        <v>44.573675147897745</v>
      </c>
      <c r="AB349" s="7">
        <f>100-(S$436-Tabell2[[#This Row],[Inntekt-T]])*100/S$439</f>
        <v>42.558625493382863</v>
      </c>
      <c r="AC349" s="55">
        <f>Tabell2[[#This Row],[NIBR11-I]]*Vekter!$B$3</f>
        <v>8</v>
      </c>
      <c r="AD349" s="55">
        <f>Tabell2[[#This Row],[ReisetidOslo-I]]*Vekter!$C$3</f>
        <v>3.4701279707500654</v>
      </c>
      <c r="AE349" s="55">
        <f>Tabell2[[#This Row],[Beftettotal-I]]*Vekter!$D$3</f>
        <v>0.48366290455599315</v>
      </c>
      <c r="AF349" s="55">
        <f>Tabell2[[#This Row],[Befvekst10-I]]*Vekter!$E$3</f>
        <v>9.8410833684648118</v>
      </c>
      <c r="AG349" s="55">
        <f>Tabell2[[#This Row],[Kvinneandel-I]]*Vekter!$F$3</f>
        <v>2.865143604251351</v>
      </c>
      <c r="AH349" s="55">
        <f>Tabell2[[#This Row],[Eldreandel-I]]*Vekter!$G$3</f>
        <v>3.7215377678654038</v>
      </c>
      <c r="AI349" s="55">
        <f>Tabell2[[#This Row],[Sysselsettingsvekst10-I]]*Vekter!$H$3</f>
        <v>6.4622353035793738</v>
      </c>
      <c r="AJ349" s="55">
        <f>Tabell2[[#This Row],[Yrkesaktivandel-I]]*Vekter!$J$3</f>
        <v>4.4573675147897749</v>
      </c>
      <c r="AK349" s="55">
        <f>Tabell2[[#This Row],[Inntekt-I]]*Vekter!$L$3</f>
        <v>4.2558625493382864</v>
      </c>
      <c r="AL349" s="56">
        <f>SUM(Tabell2[[#This Row],[NIBR11-v]:[Inntekt-v]])</f>
        <v>43.557020983595059</v>
      </c>
    </row>
    <row r="350" spans="1:38" x14ac:dyDescent="0.25">
      <c r="A350" s="2" t="s">
        <v>347</v>
      </c>
      <c r="B350">
        <f>'Rådata-K'!M349</f>
        <v>9</v>
      </c>
      <c r="C350" s="7">
        <f>'Rådata-K'!L349</f>
        <v>279.1666666667</v>
      </c>
      <c r="D350" s="34">
        <f>'Rådata-K'!N349</f>
        <v>7.426943130835455</v>
      </c>
      <c r="E350" s="34">
        <f>'Rådata-K'!O349</f>
        <v>-9.6607669616519121E-2</v>
      </c>
      <c r="F350" s="34">
        <f>'Rådata-K'!P349</f>
        <v>9.2244897959183669E-2</v>
      </c>
      <c r="G350" s="34">
        <f>'Rådata-K'!Q349</f>
        <v>0.2089795918367347</v>
      </c>
      <c r="H350" s="34">
        <f>'Rådata-K'!R349</f>
        <v>-1.4028056112224463E-2</v>
      </c>
      <c r="I350" s="34">
        <f>'Rådata-K'!S349</f>
        <v>0.93855606758832566</v>
      </c>
      <c r="J350" s="22">
        <f>'Rådata-K'!K349</f>
        <v>338400</v>
      </c>
      <c r="K350" s="22">
        <f>Tabell2[[#This Row],[NIBR11]]</f>
        <v>9</v>
      </c>
      <c r="L350" s="32">
        <f>IF(Tabell2[[#This Row],[ReisetidOslo]]&lt;=C$434,C$434,IF(Tabell2[[#This Row],[ReisetidOslo]]&gt;=C$435,C$435,Tabell2[[#This Row],[ReisetidOslo]]))</f>
        <v>279.1666666667</v>
      </c>
      <c r="M350" s="32">
        <f>IF(Tabell2[[#This Row],[Beftettotal]]&lt;=D$434,D$434,IF(Tabell2[[#This Row],[Beftettotal]]&gt;=D$435,D$435,Tabell2[[#This Row],[Beftettotal]]))</f>
        <v>7.426943130835455</v>
      </c>
      <c r="N350" s="34">
        <f>IF(Tabell2[[#This Row],[Befvekst10]]&lt;=E$434,E$434,IF(Tabell2[[#This Row],[Befvekst10]]&gt;=E$435,E$435,Tabell2[[#This Row],[Befvekst10]]))</f>
        <v>-7.6196156394963507E-2</v>
      </c>
      <c r="O350" s="34">
        <f>IF(Tabell2[[#This Row],[Kvinneandel]]&lt;=F$434,F$434,IF(Tabell2[[#This Row],[Kvinneandel]]&gt;=F$435,F$435,Tabell2[[#This Row],[Kvinneandel]]))</f>
        <v>9.2244897959183669E-2</v>
      </c>
      <c r="P350" s="34">
        <f>IF(Tabell2[[#This Row],[Eldreandel]]&lt;=G$434,G$434,IF(Tabell2[[#This Row],[Eldreandel]]&gt;=G$435,G$435,Tabell2[[#This Row],[Eldreandel]]))</f>
        <v>0.2089795918367347</v>
      </c>
      <c r="Q350" s="34">
        <f>IF(Tabell2[[#This Row],[Sysselsettingsvekst10]]&lt;=H$434,H$434,IF(Tabell2[[#This Row],[Sysselsettingsvekst10]]&gt;=H$435,H$435,Tabell2[[#This Row],[Sysselsettingsvekst10]]))</f>
        <v>-1.4028056112224463E-2</v>
      </c>
      <c r="R350" s="34">
        <f>IF(Tabell2[[#This Row],[Yrkesaktivandel]]&lt;=I$434,I$434,IF(Tabell2[[#This Row],[Yrkesaktivandel]]&gt;=I$435,I$435,Tabell2[[#This Row],[Yrkesaktivandel]]))</f>
        <v>0.93855606758832566</v>
      </c>
      <c r="S350" s="22">
        <f>IF(Tabell2[[#This Row],[Inntekt]]&lt;=J$434,J$434,IF(Tabell2[[#This Row],[Inntekt]]&gt;=J$435,J$435,Tabell2[[#This Row],[Inntekt]]))</f>
        <v>338400</v>
      </c>
      <c r="T350" s="22">
        <f>IF(Tabell2[[#This Row],[NIBR11-T]]&lt;=K$437,100,IF(Tabell2[[#This Row],[NIBR11-T]]&gt;=K$436,0,100*(K$436-Tabell2[[#This Row],[NIBR11-T]])/K$439))</f>
        <v>20</v>
      </c>
      <c r="U350" s="7">
        <f>IF(Tabell2[[#This Row],[ReisetidOslo-T]]&lt;=L$437,100,IF(Tabell2[[#This Row],[ReisetidOslo-T]]&gt;=L$436,0,100*(L$436-Tabell2[[#This Row],[ReisetidOslo-T]])/L$439))</f>
        <v>0.56599634368843166</v>
      </c>
      <c r="V350" s="7">
        <f>100-(M$436-Tabell2[[#This Row],[Beftettotal-T]])*100/M$439</f>
        <v>4.7165933293352111</v>
      </c>
      <c r="W350" s="7">
        <f>100-(N$436-Tabell2[[#This Row],[Befvekst10-T]])*100/N$439</f>
        <v>0</v>
      </c>
      <c r="X350" s="7">
        <f>100-(O$436-Tabell2[[#This Row],[Kvinneandel-T]])*100/O$439</f>
        <v>4.6367644052265433</v>
      </c>
      <c r="Y350" s="7">
        <f>(P$436-Tabell2[[#This Row],[Eldreandel-T]])*100/P$439</f>
        <v>5.9229076173441602</v>
      </c>
      <c r="Z350" s="7">
        <f>100-(Q$436-Tabell2[[#This Row],[Sysselsettingsvekst10-T]])*100/Q$439</f>
        <v>16.574642021603864</v>
      </c>
      <c r="AA350" s="7">
        <f>100-(R$436-Tabell2[[#This Row],[Yrkesaktivandel-T]])*100/R$439</f>
        <v>81.948897138770619</v>
      </c>
      <c r="AB350" s="7">
        <f>100-(S$436-Tabell2[[#This Row],[Inntekt-T]])*100/S$439</f>
        <v>7.8476898072904504</v>
      </c>
      <c r="AC350" s="55">
        <f>Tabell2[[#This Row],[NIBR11-I]]*Vekter!$B$3</f>
        <v>4</v>
      </c>
      <c r="AD350" s="55">
        <f>Tabell2[[#This Row],[ReisetidOslo-I]]*Vekter!$C$3</f>
        <v>5.6599634368843167E-2</v>
      </c>
      <c r="AE350" s="55">
        <f>Tabell2[[#This Row],[Beftettotal-I]]*Vekter!$D$3</f>
        <v>0.47165933293352114</v>
      </c>
      <c r="AF350" s="55">
        <f>Tabell2[[#This Row],[Befvekst10-I]]*Vekter!$E$3</f>
        <v>0</v>
      </c>
      <c r="AG350" s="55">
        <f>Tabell2[[#This Row],[Kvinneandel-I]]*Vekter!$F$3</f>
        <v>0.23183822026132717</v>
      </c>
      <c r="AH350" s="55">
        <f>Tabell2[[#This Row],[Eldreandel-I]]*Vekter!$G$3</f>
        <v>0.29614538086720804</v>
      </c>
      <c r="AI350" s="55">
        <f>Tabell2[[#This Row],[Sysselsettingsvekst10-I]]*Vekter!$H$3</f>
        <v>1.6574642021603865</v>
      </c>
      <c r="AJ350" s="55">
        <f>Tabell2[[#This Row],[Yrkesaktivandel-I]]*Vekter!$J$3</f>
        <v>8.1948897138770622</v>
      </c>
      <c r="AK350" s="55">
        <f>Tabell2[[#This Row],[Inntekt-I]]*Vekter!$L$3</f>
        <v>0.78476898072904511</v>
      </c>
      <c r="AL350" s="56">
        <f>SUM(Tabell2[[#This Row],[NIBR11-v]:[Inntekt-v]])</f>
        <v>15.693365465197392</v>
      </c>
    </row>
    <row r="351" spans="1:38" x14ac:dyDescent="0.25">
      <c r="A351" s="2" t="s">
        <v>348</v>
      </c>
      <c r="B351">
        <f>'Rådata-K'!M350</f>
        <v>7</v>
      </c>
      <c r="C351" s="7">
        <f>'Rådata-K'!L350</f>
        <v>247.2</v>
      </c>
      <c r="D351" s="34">
        <f>'Rådata-K'!N350</f>
        <v>0.94637223974763407</v>
      </c>
      <c r="E351" s="34">
        <f>'Rådata-K'!O350</f>
        <v>-2.6717557251908386E-2</v>
      </c>
      <c r="F351" s="34">
        <f>'Rådata-K'!P350</f>
        <v>8.6274509803921567E-2</v>
      </c>
      <c r="G351" s="34">
        <f>'Rådata-K'!Q350</f>
        <v>0.21176470588235294</v>
      </c>
      <c r="H351" s="34">
        <f>'Rådata-K'!R350</f>
        <v>-7.9812206572769995E-2</v>
      </c>
      <c r="I351" s="34">
        <f>'Rådata-K'!S350</f>
        <v>0.92647058823529416</v>
      </c>
      <c r="J351" s="22">
        <f>'Rådata-K'!K350</f>
        <v>332600</v>
      </c>
      <c r="K351" s="22">
        <f>Tabell2[[#This Row],[NIBR11]]</f>
        <v>7</v>
      </c>
      <c r="L351" s="32">
        <f>IF(Tabell2[[#This Row],[ReisetidOslo]]&lt;=C$434,C$434,IF(Tabell2[[#This Row],[ReisetidOslo]]&gt;=C$435,C$435,Tabell2[[#This Row],[ReisetidOslo]]))</f>
        <v>247.2</v>
      </c>
      <c r="M351" s="32">
        <f>IF(Tabell2[[#This Row],[Beftettotal]]&lt;=D$434,D$434,IF(Tabell2[[#This Row],[Beftettotal]]&gt;=D$435,D$435,Tabell2[[#This Row],[Beftettotal]]))</f>
        <v>1.3297721240876861</v>
      </c>
      <c r="N351" s="34">
        <f>IF(Tabell2[[#This Row],[Befvekst10]]&lt;=E$434,E$434,IF(Tabell2[[#This Row],[Befvekst10]]&gt;=E$435,E$435,Tabell2[[#This Row],[Befvekst10]]))</f>
        <v>-2.6717557251908386E-2</v>
      </c>
      <c r="O351" s="34">
        <f>IF(Tabell2[[#This Row],[Kvinneandel]]&lt;=F$434,F$434,IF(Tabell2[[#This Row],[Kvinneandel]]&gt;=F$435,F$435,Tabell2[[#This Row],[Kvinneandel]]))</f>
        <v>9.0490197137593403E-2</v>
      </c>
      <c r="P351" s="34">
        <f>IF(Tabell2[[#This Row],[Eldreandel]]&lt;=G$434,G$434,IF(Tabell2[[#This Row],[Eldreandel]]&gt;=G$435,G$435,Tabell2[[#This Row],[Eldreandel]]))</f>
        <v>0.21176470588235294</v>
      </c>
      <c r="Q351" s="34">
        <f>IF(Tabell2[[#This Row],[Sysselsettingsvekst10]]&lt;=H$434,H$434,IF(Tabell2[[#This Row],[Sysselsettingsvekst10]]&gt;=H$435,H$435,Tabell2[[#This Row],[Sysselsettingsvekst10]]))</f>
        <v>-6.9733479337269061E-2</v>
      </c>
      <c r="R351" s="34">
        <f>IF(Tabell2[[#This Row],[Yrkesaktivandel]]&lt;=I$434,I$434,IF(Tabell2[[#This Row],[Yrkesaktivandel]]&gt;=I$435,I$435,Tabell2[[#This Row],[Yrkesaktivandel]]))</f>
        <v>0.92647058823529416</v>
      </c>
      <c r="S351" s="22">
        <f>IF(Tabell2[[#This Row],[Inntekt]]&lt;=J$434,J$434,IF(Tabell2[[#This Row],[Inntekt]]&gt;=J$435,J$435,Tabell2[[#This Row],[Inntekt]]))</f>
        <v>332600</v>
      </c>
      <c r="T351" s="22">
        <f>IF(Tabell2[[#This Row],[NIBR11-T]]&lt;=K$437,100,IF(Tabell2[[#This Row],[NIBR11-T]]&gt;=K$436,0,100*(K$436-Tabell2[[#This Row],[NIBR11-T]])/K$439))</f>
        <v>40</v>
      </c>
      <c r="U351" s="7">
        <f>IF(Tabell2[[#This Row],[ReisetidOslo-T]]&lt;=L$437,100,IF(Tabell2[[#This Row],[ReisetidOslo-T]]&gt;=L$436,0,100*(L$436-Tabell2[[#This Row],[ReisetidOslo-T]])/L$439))</f>
        <v>14.591590493610216</v>
      </c>
      <c r="V351" s="7">
        <f>100-(M$436-Tabell2[[#This Row],[Beftettotal-T]])*100/M$439</f>
        <v>0</v>
      </c>
      <c r="W351" s="7">
        <f>100-(N$436-Tabell2[[#This Row],[Befvekst10-T]])*100/N$439</f>
        <v>19.921892666108917</v>
      </c>
      <c r="X351" s="7">
        <f>100-(O$436-Tabell2[[#This Row],[Kvinneandel-T]])*100/O$439</f>
        <v>0</v>
      </c>
      <c r="Y351" s="7">
        <f>(P$436-Tabell2[[#This Row],[Eldreandel-T]])*100/P$439</f>
        <v>2.8711135032600277</v>
      </c>
      <c r="Z351" s="7">
        <f>100-(Q$436-Tabell2[[#This Row],[Sysselsettingsvekst10-T]])*100/Q$439</f>
        <v>0</v>
      </c>
      <c r="AA351" s="7">
        <f>100-(R$436-Tabell2[[#This Row],[Yrkesaktivandel-T]])*100/R$439</f>
        <v>72.656471784882712</v>
      </c>
      <c r="AB351" s="7">
        <f>100-(S$436-Tabell2[[#This Row],[Inntekt-T]])*100/S$439</f>
        <v>1.1144648247039726</v>
      </c>
      <c r="AC351" s="55">
        <f>Tabell2[[#This Row],[NIBR11-I]]*Vekter!$B$3</f>
        <v>8</v>
      </c>
      <c r="AD351" s="55">
        <f>Tabell2[[#This Row],[ReisetidOslo-I]]*Vekter!$C$3</f>
        <v>1.4591590493610216</v>
      </c>
      <c r="AE351" s="55">
        <f>Tabell2[[#This Row],[Beftettotal-I]]*Vekter!$D$3</f>
        <v>0</v>
      </c>
      <c r="AF351" s="55">
        <f>Tabell2[[#This Row],[Befvekst10-I]]*Vekter!$E$3</f>
        <v>3.9843785332217836</v>
      </c>
      <c r="AG351" s="55">
        <f>Tabell2[[#This Row],[Kvinneandel-I]]*Vekter!$F$3</f>
        <v>0</v>
      </c>
      <c r="AH351" s="55">
        <f>Tabell2[[#This Row],[Eldreandel-I]]*Vekter!$G$3</f>
        <v>0.14355567516300138</v>
      </c>
      <c r="AI351" s="55">
        <f>Tabell2[[#This Row],[Sysselsettingsvekst10-I]]*Vekter!$H$3</f>
        <v>0</v>
      </c>
      <c r="AJ351" s="55">
        <f>Tabell2[[#This Row],[Yrkesaktivandel-I]]*Vekter!$J$3</f>
        <v>7.2656471784882717</v>
      </c>
      <c r="AK351" s="55">
        <f>Tabell2[[#This Row],[Inntekt-I]]*Vekter!$L$3</f>
        <v>0.11144648247039726</v>
      </c>
      <c r="AL351" s="56">
        <f>SUM(Tabell2[[#This Row],[NIBR11-v]:[Inntekt-v]])</f>
        <v>20.964186918704478</v>
      </c>
    </row>
    <row r="352" spans="1:38" x14ac:dyDescent="0.25">
      <c r="A352" s="2" t="s">
        <v>349</v>
      </c>
      <c r="B352">
        <f>'Rådata-K'!M351</f>
        <v>9</v>
      </c>
      <c r="C352" s="7">
        <f>'Rådata-K'!L351</f>
        <v>266.48333333330004</v>
      </c>
      <c r="D352" s="34">
        <f>'Rådata-K'!N351</f>
        <v>26.984620164672982</v>
      </c>
      <c r="E352" s="34">
        <f>'Rådata-K'!O351</f>
        <v>-1.1500862564692849E-3</v>
      </c>
      <c r="F352" s="34">
        <f>'Rådata-K'!P351</f>
        <v>0.10362694300518134</v>
      </c>
      <c r="G352" s="34">
        <f>'Rådata-K'!Q351</f>
        <v>0.18249856073690271</v>
      </c>
      <c r="H352" s="34">
        <f>'Rådata-K'!R351</f>
        <v>7.5063613231552084E-2</v>
      </c>
      <c r="I352" s="34">
        <f>'Rådata-K'!S351</f>
        <v>0.8294117647058824</v>
      </c>
      <c r="J352" s="22">
        <f>'Rådata-K'!K351</f>
        <v>342900</v>
      </c>
      <c r="K352" s="22">
        <f>Tabell2[[#This Row],[NIBR11]]</f>
        <v>9</v>
      </c>
      <c r="L352" s="32">
        <f>IF(Tabell2[[#This Row],[ReisetidOslo]]&lt;=C$434,C$434,IF(Tabell2[[#This Row],[ReisetidOslo]]&gt;=C$435,C$435,Tabell2[[#This Row],[ReisetidOslo]]))</f>
        <v>266.48333333330004</v>
      </c>
      <c r="M352" s="32">
        <f>IF(Tabell2[[#This Row],[Beftettotal]]&lt;=D$434,D$434,IF(Tabell2[[#This Row],[Beftettotal]]&gt;=D$435,D$435,Tabell2[[#This Row],[Beftettotal]]))</f>
        <v>26.984620164672982</v>
      </c>
      <c r="N352" s="34">
        <f>IF(Tabell2[[#This Row],[Befvekst10]]&lt;=E$434,E$434,IF(Tabell2[[#This Row],[Befvekst10]]&gt;=E$435,E$435,Tabell2[[#This Row],[Befvekst10]]))</f>
        <v>-1.1500862564692849E-3</v>
      </c>
      <c r="O352" s="34">
        <f>IF(Tabell2[[#This Row],[Kvinneandel]]&lt;=F$434,F$434,IF(Tabell2[[#This Row],[Kvinneandel]]&gt;=F$435,F$435,Tabell2[[#This Row],[Kvinneandel]]))</f>
        <v>0.10362694300518134</v>
      </c>
      <c r="P352" s="34">
        <f>IF(Tabell2[[#This Row],[Eldreandel]]&lt;=G$434,G$434,IF(Tabell2[[#This Row],[Eldreandel]]&gt;=G$435,G$435,Tabell2[[#This Row],[Eldreandel]]))</f>
        <v>0.18249856073690271</v>
      </c>
      <c r="Q352" s="34">
        <f>IF(Tabell2[[#This Row],[Sysselsettingsvekst10]]&lt;=H$434,H$434,IF(Tabell2[[#This Row],[Sysselsettingsvekst10]]&gt;=H$435,H$435,Tabell2[[#This Row],[Sysselsettingsvekst10]]))</f>
        <v>7.5063613231552084E-2</v>
      </c>
      <c r="R352" s="34">
        <f>IF(Tabell2[[#This Row],[Yrkesaktivandel]]&lt;=I$434,I$434,IF(Tabell2[[#This Row],[Yrkesaktivandel]]&gt;=I$435,I$435,Tabell2[[#This Row],[Yrkesaktivandel]]))</f>
        <v>0.83197552842263423</v>
      </c>
      <c r="S352" s="22">
        <f>IF(Tabell2[[#This Row],[Inntekt]]&lt;=J$434,J$434,IF(Tabell2[[#This Row],[Inntekt]]&gt;=J$435,J$435,Tabell2[[#This Row],[Inntekt]]))</f>
        <v>342900</v>
      </c>
      <c r="T352" s="22">
        <f>IF(Tabell2[[#This Row],[NIBR11-T]]&lt;=K$437,100,IF(Tabell2[[#This Row],[NIBR11-T]]&gt;=K$436,0,100*(K$436-Tabell2[[#This Row],[NIBR11-T]])/K$439))</f>
        <v>20</v>
      </c>
      <c r="U352" s="7">
        <f>IF(Tabell2[[#This Row],[ReisetidOslo-T]]&lt;=L$437,100,IF(Tabell2[[#This Row],[ReisetidOslo-T]]&gt;=L$436,0,100*(L$436-Tabell2[[#This Row],[ReisetidOslo-T]])/L$439))</f>
        <v>6.1308957952710239</v>
      </c>
      <c r="V352" s="7">
        <f>100-(M$436-Tabell2[[#This Row],[Beftettotal-T]])*100/M$439</f>
        <v>19.845840800498792</v>
      </c>
      <c r="W352" s="7">
        <f>100-(N$436-Tabell2[[#This Row],[Befvekst10-T]])*100/N$439</f>
        <v>30.216291087582491</v>
      </c>
      <c r="X352" s="7">
        <f>100-(O$436-Tabell2[[#This Row],[Kvinneandel-T]])*100/O$439</f>
        <v>34.713607522070149</v>
      </c>
      <c r="Y352" s="7">
        <f>(P$436-Tabell2[[#This Row],[Eldreandel-T]])*100/P$439</f>
        <v>34.939548775177599</v>
      </c>
      <c r="Z352" s="7">
        <f>100-(Q$436-Tabell2[[#This Row],[Sysselsettingsvekst10-T]])*100/Q$439</f>
        <v>43.083057917029691</v>
      </c>
      <c r="AA352" s="7">
        <f>100-(R$436-Tabell2[[#This Row],[Yrkesaktivandel-T]])*100/R$439</f>
        <v>0</v>
      </c>
      <c r="AB352" s="7">
        <f>100-(S$436-Tabell2[[#This Row],[Inntekt-T]])*100/S$439</f>
        <v>13.071743673090324</v>
      </c>
      <c r="AC352" s="55">
        <f>Tabell2[[#This Row],[NIBR11-I]]*Vekter!$B$3</f>
        <v>4</v>
      </c>
      <c r="AD352" s="55">
        <f>Tabell2[[#This Row],[ReisetidOslo-I]]*Vekter!$C$3</f>
        <v>0.61308957952710241</v>
      </c>
      <c r="AE352" s="55">
        <f>Tabell2[[#This Row],[Beftettotal-I]]*Vekter!$D$3</f>
        <v>1.9845840800498793</v>
      </c>
      <c r="AF352" s="55">
        <f>Tabell2[[#This Row],[Befvekst10-I]]*Vekter!$E$3</f>
        <v>6.0432582175164988</v>
      </c>
      <c r="AG352" s="55">
        <f>Tabell2[[#This Row],[Kvinneandel-I]]*Vekter!$F$3</f>
        <v>1.7356803761035076</v>
      </c>
      <c r="AH352" s="55">
        <f>Tabell2[[#This Row],[Eldreandel-I]]*Vekter!$G$3</f>
        <v>1.7469774387588801</v>
      </c>
      <c r="AI352" s="55">
        <f>Tabell2[[#This Row],[Sysselsettingsvekst10-I]]*Vekter!$H$3</f>
        <v>4.3083057917029697</v>
      </c>
      <c r="AJ352" s="55">
        <f>Tabell2[[#This Row],[Yrkesaktivandel-I]]*Vekter!$J$3</f>
        <v>0</v>
      </c>
      <c r="AK352" s="55">
        <f>Tabell2[[#This Row],[Inntekt-I]]*Vekter!$L$3</f>
        <v>1.3071743673090326</v>
      </c>
      <c r="AL352" s="56">
        <f>SUM(Tabell2[[#This Row],[NIBR11-v]:[Inntekt-v]])</f>
        <v>21.739069850967869</v>
      </c>
    </row>
    <row r="353" spans="1:38" x14ac:dyDescent="0.25">
      <c r="A353" s="2" t="s">
        <v>350</v>
      </c>
      <c r="B353">
        <f>'Rådata-K'!M352</f>
        <v>7</v>
      </c>
      <c r="C353" s="7">
        <f>'Rådata-K'!L352</f>
        <v>238.9</v>
      </c>
      <c r="D353" s="34">
        <f>'Rådata-K'!N352</f>
        <v>39.731357603539259</v>
      </c>
      <c r="E353" s="34">
        <f>'Rådata-K'!O352</f>
        <v>7.5696134090295075E-3</v>
      </c>
      <c r="F353" s="34">
        <f>'Rådata-K'!P352</f>
        <v>0.11456935873356587</v>
      </c>
      <c r="G353" s="34">
        <f>'Rådata-K'!Q352</f>
        <v>0.15374295680171721</v>
      </c>
      <c r="H353" s="34">
        <f>'Rådata-K'!R352</f>
        <v>0.14423349390762263</v>
      </c>
      <c r="I353" s="34">
        <f>'Rådata-K'!S352</f>
        <v>0.85372649175760396</v>
      </c>
      <c r="J353" s="22">
        <f>'Rådata-K'!K352</f>
        <v>370900</v>
      </c>
      <c r="K353" s="22">
        <f>Tabell2[[#This Row],[NIBR11]]</f>
        <v>7</v>
      </c>
      <c r="L353" s="32">
        <f>IF(Tabell2[[#This Row],[ReisetidOslo]]&lt;=C$434,C$434,IF(Tabell2[[#This Row],[ReisetidOslo]]&gt;=C$435,C$435,Tabell2[[#This Row],[ReisetidOslo]]))</f>
        <v>238.9</v>
      </c>
      <c r="M353" s="32">
        <f>IF(Tabell2[[#This Row],[Beftettotal]]&lt;=D$434,D$434,IF(Tabell2[[#This Row],[Beftettotal]]&gt;=D$435,D$435,Tabell2[[#This Row],[Beftettotal]]))</f>
        <v>39.731357603539259</v>
      </c>
      <c r="N353" s="34">
        <f>IF(Tabell2[[#This Row],[Befvekst10]]&lt;=E$434,E$434,IF(Tabell2[[#This Row],[Befvekst10]]&gt;=E$435,E$435,Tabell2[[#This Row],[Befvekst10]]))</f>
        <v>7.5696134090295075E-3</v>
      </c>
      <c r="O353" s="34">
        <f>IF(Tabell2[[#This Row],[Kvinneandel]]&lt;=F$434,F$434,IF(Tabell2[[#This Row],[Kvinneandel]]&gt;=F$435,F$435,Tabell2[[#This Row],[Kvinneandel]]))</f>
        <v>0.11456935873356587</v>
      </c>
      <c r="P353" s="34">
        <f>IF(Tabell2[[#This Row],[Eldreandel]]&lt;=G$434,G$434,IF(Tabell2[[#This Row],[Eldreandel]]&gt;=G$435,G$435,Tabell2[[#This Row],[Eldreandel]]))</f>
        <v>0.15374295680171721</v>
      </c>
      <c r="Q353" s="34">
        <f>IF(Tabell2[[#This Row],[Sysselsettingsvekst10]]&lt;=H$434,H$434,IF(Tabell2[[#This Row],[Sysselsettingsvekst10]]&gt;=H$435,H$435,Tabell2[[#This Row],[Sysselsettingsvekst10]]))</f>
        <v>0.14423349390762263</v>
      </c>
      <c r="R353" s="34">
        <f>IF(Tabell2[[#This Row],[Yrkesaktivandel]]&lt;=I$434,I$434,IF(Tabell2[[#This Row],[Yrkesaktivandel]]&gt;=I$435,I$435,Tabell2[[#This Row],[Yrkesaktivandel]]))</f>
        <v>0.85372649175760396</v>
      </c>
      <c r="S353" s="22">
        <f>IF(Tabell2[[#This Row],[Inntekt]]&lt;=J$434,J$434,IF(Tabell2[[#This Row],[Inntekt]]&gt;=J$435,J$435,Tabell2[[#This Row],[Inntekt]]))</f>
        <v>370900</v>
      </c>
      <c r="T353" s="22">
        <f>IF(Tabell2[[#This Row],[NIBR11-T]]&lt;=K$437,100,IF(Tabell2[[#This Row],[NIBR11-T]]&gt;=K$436,0,100*(K$436-Tabell2[[#This Row],[NIBR11-T]])/K$439))</f>
        <v>40</v>
      </c>
      <c r="U353" s="7">
        <f>IF(Tabell2[[#This Row],[ReisetidOslo-T]]&lt;=L$437,100,IF(Tabell2[[#This Row],[ReisetidOslo-T]]&gt;=L$436,0,100*(L$436-Tabell2[[#This Row],[ReisetidOslo-T]])/L$439))</f>
        <v>18.233272394889543</v>
      </c>
      <c r="V353" s="7">
        <f>100-(M$436-Tabell2[[#This Row],[Beftettotal-T]])*100/M$439</f>
        <v>29.706344419047113</v>
      </c>
      <c r="W353" s="7">
        <f>100-(N$436-Tabell2[[#This Row],[Befvekst10-T]])*100/N$439</f>
        <v>33.727160914647015</v>
      </c>
      <c r="X353" s="7">
        <f>100-(O$436-Tabell2[[#This Row],[Kvinneandel-T]])*100/O$439</f>
        <v>63.628738313757836</v>
      </c>
      <c r="Y353" s="7">
        <f>(P$436-Tabell2[[#This Row],[Eldreandel-T]])*100/P$439</f>
        <v>66.448557526326823</v>
      </c>
      <c r="Z353" s="7">
        <f>100-(Q$436-Tabell2[[#This Row],[Sysselsettingsvekst10-T]])*100/Q$439</f>
        <v>63.663926789550594</v>
      </c>
      <c r="AA353" s="7">
        <f>100-(R$436-Tabell2[[#This Row],[Yrkesaktivandel-T]])*100/R$439</f>
        <v>16.724136234998397</v>
      </c>
      <c r="AB353" s="7">
        <f>100-(S$436-Tabell2[[#This Row],[Inntekt-T]])*100/S$439</f>
        <v>45.57696772695612</v>
      </c>
      <c r="AC353" s="55">
        <f>Tabell2[[#This Row],[NIBR11-I]]*Vekter!$B$3</f>
        <v>8</v>
      </c>
      <c r="AD353" s="55">
        <f>Tabell2[[#This Row],[ReisetidOslo-I]]*Vekter!$C$3</f>
        <v>1.8233272394889544</v>
      </c>
      <c r="AE353" s="55">
        <f>Tabell2[[#This Row],[Beftettotal-I]]*Vekter!$D$3</f>
        <v>2.9706344419047115</v>
      </c>
      <c r="AF353" s="55">
        <f>Tabell2[[#This Row],[Befvekst10-I]]*Vekter!$E$3</f>
        <v>6.7454321829294033</v>
      </c>
      <c r="AG353" s="55">
        <f>Tabell2[[#This Row],[Kvinneandel-I]]*Vekter!$F$3</f>
        <v>3.1814369156878919</v>
      </c>
      <c r="AH353" s="55">
        <f>Tabell2[[#This Row],[Eldreandel-I]]*Vekter!$G$3</f>
        <v>3.3224278763163415</v>
      </c>
      <c r="AI353" s="55">
        <f>Tabell2[[#This Row],[Sysselsettingsvekst10-I]]*Vekter!$H$3</f>
        <v>6.3663926789550596</v>
      </c>
      <c r="AJ353" s="55">
        <f>Tabell2[[#This Row],[Yrkesaktivandel-I]]*Vekter!$J$3</f>
        <v>1.6724136234998399</v>
      </c>
      <c r="AK353" s="55">
        <f>Tabell2[[#This Row],[Inntekt-I]]*Vekter!$L$3</f>
        <v>4.5576967726956124</v>
      </c>
      <c r="AL353" s="56">
        <f>SUM(Tabell2[[#This Row],[NIBR11-v]:[Inntekt-v]])</f>
        <v>38.639761731477819</v>
      </c>
    </row>
    <row r="354" spans="1:38" x14ac:dyDescent="0.25">
      <c r="A354" s="2" t="s">
        <v>351</v>
      </c>
      <c r="B354">
        <f>'Rådata-K'!M353</f>
        <v>7</v>
      </c>
      <c r="C354" s="7">
        <f>'Rådata-K'!L353</f>
        <v>251.4333333333</v>
      </c>
      <c r="D354" s="34">
        <f>'Rådata-K'!N353</f>
        <v>4.703151197283006</v>
      </c>
      <c r="E354" s="34">
        <f>'Rådata-K'!O353</f>
        <v>1.4842300556586308E-2</v>
      </c>
      <c r="F354" s="34">
        <f>'Rådata-K'!P353</f>
        <v>0.11014625228519195</v>
      </c>
      <c r="G354" s="34">
        <f>'Rådata-K'!Q353</f>
        <v>0.15950639853747714</v>
      </c>
      <c r="H354" s="34">
        <f>'Rådata-K'!R353</f>
        <v>-6.0478199718706049E-2</v>
      </c>
      <c r="I354" s="34">
        <f>'Rådata-K'!S353</f>
        <v>0.85229067930489733</v>
      </c>
      <c r="J354" s="22">
        <f>'Rådata-K'!K353</f>
        <v>339800</v>
      </c>
      <c r="K354" s="22">
        <f>Tabell2[[#This Row],[NIBR11]]</f>
        <v>7</v>
      </c>
      <c r="L354" s="32">
        <f>IF(Tabell2[[#This Row],[ReisetidOslo]]&lt;=C$434,C$434,IF(Tabell2[[#This Row],[ReisetidOslo]]&gt;=C$435,C$435,Tabell2[[#This Row],[ReisetidOslo]]))</f>
        <v>251.4333333333</v>
      </c>
      <c r="M354" s="32">
        <f>IF(Tabell2[[#This Row],[Beftettotal]]&lt;=D$434,D$434,IF(Tabell2[[#This Row],[Beftettotal]]&gt;=D$435,D$435,Tabell2[[#This Row],[Beftettotal]]))</f>
        <v>4.703151197283006</v>
      </c>
      <c r="N354" s="34">
        <f>IF(Tabell2[[#This Row],[Befvekst10]]&lt;=E$434,E$434,IF(Tabell2[[#This Row],[Befvekst10]]&gt;=E$435,E$435,Tabell2[[#This Row],[Befvekst10]]))</f>
        <v>1.4842300556586308E-2</v>
      </c>
      <c r="O354" s="34">
        <f>IF(Tabell2[[#This Row],[Kvinneandel]]&lt;=F$434,F$434,IF(Tabell2[[#This Row],[Kvinneandel]]&gt;=F$435,F$435,Tabell2[[#This Row],[Kvinneandel]]))</f>
        <v>0.11014625228519195</v>
      </c>
      <c r="P354" s="34">
        <f>IF(Tabell2[[#This Row],[Eldreandel]]&lt;=G$434,G$434,IF(Tabell2[[#This Row],[Eldreandel]]&gt;=G$435,G$435,Tabell2[[#This Row],[Eldreandel]]))</f>
        <v>0.15950639853747714</v>
      </c>
      <c r="Q354" s="34">
        <f>IF(Tabell2[[#This Row],[Sysselsettingsvekst10]]&lt;=H$434,H$434,IF(Tabell2[[#This Row],[Sysselsettingsvekst10]]&gt;=H$435,H$435,Tabell2[[#This Row],[Sysselsettingsvekst10]]))</f>
        <v>-6.0478199718706049E-2</v>
      </c>
      <c r="R354" s="34">
        <f>IF(Tabell2[[#This Row],[Yrkesaktivandel]]&lt;=I$434,I$434,IF(Tabell2[[#This Row],[Yrkesaktivandel]]&gt;=I$435,I$435,Tabell2[[#This Row],[Yrkesaktivandel]]))</f>
        <v>0.85229067930489733</v>
      </c>
      <c r="S354" s="22">
        <f>IF(Tabell2[[#This Row],[Inntekt]]&lt;=J$434,J$434,IF(Tabell2[[#This Row],[Inntekt]]&gt;=J$435,J$435,Tabell2[[#This Row],[Inntekt]]))</f>
        <v>339800</v>
      </c>
      <c r="T354" s="22">
        <f>IF(Tabell2[[#This Row],[NIBR11-T]]&lt;=K$437,100,IF(Tabell2[[#This Row],[NIBR11-T]]&gt;=K$436,0,100*(K$436-Tabell2[[#This Row],[NIBR11-T]])/K$439))</f>
        <v>40</v>
      </c>
      <c r="U354" s="7">
        <f>IF(Tabell2[[#This Row],[ReisetidOslo-T]]&lt;=L$437,100,IF(Tabell2[[#This Row],[ReisetidOslo-T]]&gt;=L$436,0,100*(L$436-Tabell2[[#This Row],[ReisetidOslo-T]])/L$439))</f>
        <v>12.734186471687185</v>
      </c>
      <c r="V354" s="7">
        <f>100-(M$436-Tabell2[[#This Row],[Beftettotal-T]])*100/M$439</f>
        <v>2.609547479698918</v>
      </c>
      <c r="W354" s="7">
        <f>100-(N$436-Tabell2[[#This Row],[Befvekst10-T]])*100/N$439</f>
        <v>36.655410607588301</v>
      </c>
      <c r="X354" s="7">
        <f>100-(O$436-Tabell2[[#This Row],[Kvinneandel-T]])*100/O$439</f>
        <v>51.940761487166306</v>
      </c>
      <c r="Y354" s="7">
        <f>(P$436-Tabell2[[#This Row],[Eldreandel-T]])*100/P$439</f>
        <v>60.133255072651302</v>
      </c>
      <c r="Z354" s="7">
        <f>100-(Q$436-Tabell2[[#This Row],[Sysselsettingsvekst10-T]])*100/Q$439</f>
        <v>2.7538242707141052</v>
      </c>
      <c r="AA354" s="7">
        <f>100-(R$436-Tabell2[[#This Row],[Yrkesaktivandel-T]])*100/R$439</f>
        <v>15.620151887400937</v>
      </c>
      <c r="AB354" s="7">
        <f>100-(S$436-Tabell2[[#This Row],[Inntekt-T]])*100/S$439</f>
        <v>9.4729510099837455</v>
      </c>
      <c r="AC354" s="55">
        <f>Tabell2[[#This Row],[NIBR11-I]]*Vekter!$B$3</f>
        <v>8</v>
      </c>
      <c r="AD354" s="55">
        <f>Tabell2[[#This Row],[ReisetidOslo-I]]*Vekter!$C$3</f>
        <v>1.2734186471687186</v>
      </c>
      <c r="AE354" s="55">
        <f>Tabell2[[#This Row],[Beftettotal-I]]*Vekter!$D$3</f>
        <v>0.26095474796989182</v>
      </c>
      <c r="AF354" s="55">
        <f>Tabell2[[#This Row],[Befvekst10-I]]*Vekter!$E$3</f>
        <v>7.3310821215176603</v>
      </c>
      <c r="AG354" s="55">
        <f>Tabell2[[#This Row],[Kvinneandel-I]]*Vekter!$F$3</f>
        <v>2.5970380743583155</v>
      </c>
      <c r="AH354" s="55">
        <f>Tabell2[[#This Row],[Eldreandel-I]]*Vekter!$G$3</f>
        <v>3.0066627536325652</v>
      </c>
      <c r="AI354" s="55">
        <f>Tabell2[[#This Row],[Sysselsettingsvekst10-I]]*Vekter!$H$3</f>
        <v>0.27538242707141053</v>
      </c>
      <c r="AJ354" s="55">
        <f>Tabell2[[#This Row],[Yrkesaktivandel-I]]*Vekter!$J$3</f>
        <v>1.5620151887400937</v>
      </c>
      <c r="AK354" s="55">
        <f>Tabell2[[#This Row],[Inntekt-I]]*Vekter!$L$3</f>
        <v>0.94729510099837455</v>
      </c>
      <c r="AL354" s="56">
        <f>SUM(Tabell2[[#This Row],[NIBR11-v]:[Inntekt-v]])</f>
        <v>25.253849061457029</v>
      </c>
    </row>
    <row r="355" spans="1:38" x14ac:dyDescent="0.25">
      <c r="A355" s="2" t="s">
        <v>352</v>
      </c>
      <c r="B355">
        <f>'Rådata-K'!M354</f>
        <v>6</v>
      </c>
      <c r="C355" s="7">
        <f>'Rådata-K'!L354</f>
        <v>236.11666666667</v>
      </c>
      <c r="D355" s="34">
        <f>'Rådata-K'!N354</f>
        <v>6.9224029323779952</v>
      </c>
      <c r="E355" s="34">
        <f>'Rådata-K'!O354</f>
        <v>-9.9362301646152007E-3</v>
      </c>
      <c r="F355" s="34">
        <f>'Rådata-K'!P354</f>
        <v>0.11009586578789694</v>
      </c>
      <c r="G355" s="34">
        <f>'Rådata-K'!Q354</f>
        <v>0.17285799880167765</v>
      </c>
      <c r="H355" s="34">
        <f>'Rådata-K'!R354</f>
        <v>4.1742839731870873E-2</v>
      </c>
      <c r="I355" s="34">
        <f>'Rådata-K'!S354</f>
        <v>0.88606427818756583</v>
      </c>
      <c r="J355" s="22">
        <f>'Rådata-K'!K354</f>
        <v>367900</v>
      </c>
      <c r="K355" s="22">
        <f>Tabell2[[#This Row],[NIBR11]]</f>
        <v>6</v>
      </c>
      <c r="L355" s="32">
        <f>IF(Tabell2[[#This Row],[ReisetidOslo]]&lt;=C$434,C$434,IF(Tabell2[[#This Row],[ReisetidOslo]]&gt;=C$435,C$435,Tabell2[[#This Row],[ReisetidOslo]]))</f>
        <v>236.11666666667</v>
      </c>
      <c r="M355" s="32">
        <f>IF(Tabell2[[#This Row],[Beftettotal]]&lt;=D$434,D$434,IF(Tabell2[[#This Row],[Beftettotal]]&gt;=D$435,D$435,Tabell2[[#This Row],[Beftettotal]]))</f>
        <v>6.9224029323779952</v>
      </c>
      <c r="N355" s="34">
        <f>IF(Tabell2[[#This Row],[Befvekst10]]&lt;=E$434,E$434,IF(Tabell2[[#This Row],[Befvekst10]]&gt;=E$435,E$435,Tabell2[[#This Row],[Befvekst10]]))</f>
        <v>-9.9362301646152007E-3</v>
      </c>
      <c r="O355" s="34">
        <f>IF(Tabell2[[#This Row],[Kvinneandel]]&lt;=F$434,F$434,IF(Tabell2[[#This Row],[Kvinneandel]]&gt;=F$435,F$435,Tabell2[[#This Row],[Kvinneandel]]))</f>
        <v>0.11009586578789694</v>
      </c>
      <c r="P355" s="34">
        <f>IF(Tabell2[[#This Row],[Eldreandel]]&lt;=G$434,G$434,IF(Tabell2[[#This Row],[Eldreandel]]&gt;=G$435,G$435,Tabell2[[#This Row],[Eldreandel]]))</f>
        <v>0.17285799880167765</v>
      </c>
      <c r="Q355" s="34">
        <f>IF(Tabell2[[#This Row],[Sysselsettingsvekst10]]&lt;=H$434,H$434,IF(Tabell2[[#This Row],[Sysselsettingsvekst10]]&gt;=H$435,H$435,Tabell2[[#This Row],[Sysselsettingsvekst10]]))</f>
        <v>4.1742839731870873E-2</v>
      </c>
      <c r="R355" s="34">
        <f>IF(Tabell2[[#This Row],[Yrkesaktivandel]]&lt;=I$434,I$434,IF(Tabell2[[#This Row],[Yrkesaktivandel]]&gt;=I$435,I$435,Tabell2[[#This Row],[Yrkesaktivandel]]))</f>
        <v>0.88606427818756583</v>
      </c>
      <c r="S355" s="22">
        <f>IF(Tabell2[[#This Row],[Inntekt]]&lt;=J$434,J$434,IF(Tabell2[[#This Row],[Inntekt]]&gt;=J$435,J$435,Tabell2[[#This Row],[Inntekt]]))</f>
        <v>367900</v>
      </c>
      <c r="T355" s="22">
        <f>IF(Tabell2[[#This Row],[NIBR11-T]]&lt;=K$437,100,IF(Tabell2[[#This Row],[NIBR11-T]]&gt;=K$436,0,100*(K$436-Tabell2[[#This Row],[NIBR11-T]])/K$439))</f>
        <v>50</v>
      </c>
      <c r="U355" s="7">
        <f>IF(Tabell2[[#This Row],[ReisetidOslo-T]]&lt;=L$437,100,IF(Tabell2[[#This Row],[ReisetidOslo-T]]&gt;=L$436,0,100*(L$436-Tabell2[[#This Row],[ReisetidOslo-T]])/L$439))</f>
        <v>19.454478976240789</v>
      </c>
      <c r="V355" s="7">
        <f>100-(M$436-Tabell2[[#This Row],[Beftettotal-T]])*100/M$439</f>
        <v>4.326295774650859</v>
      </c>
      <c r="W355" s="7">
        <f>100-(N$436-Tabell2[[#This Row],[Befvekst10-T]])*100/N$439</f>
        <v>26.678668379611423</v>
      </c>
      <c r="X355" s="7">
        <f>100-(O$436-Tabell2[[#This Row],[Kvinneandel-T]])*100/O$439</f>
        <v>51.807616101761056</v>
      </c>
      <c r="Y355" s="7">
        <f>(P$436-Tabell2[[#This Row],[Eldreandel-T]])*100/P$439</f>
        <v>45.503213202733392</v>
      </c>
      <c r="Z355" s="7">
        <f>100-(Q$436-Tabell2[[#This Row],[Sysselsettingsvekst10-T]])*100/Q$439</f>
        <v>33.168764825511431</v>
      </c>
      <c r="AA355" s="7">
        <f>100-(R$436-Tabell2[[#This Row],[Yrkesaktivandel-T]])*100/R$439</f>
        <v>41.588393392908657</v>
      </c>
      <c r="AB355" s="7">
        <f>100-(S$436-Tabell2[[#This Row],[Inntekt-T]])*100/S$439</f>
        <v>42.094265149756211</v>
      </c>
      <c r="AC355" s="55">
        <f>Tabell2[[#This Row],[NIBR11-I]]*Vekter!$B$3</f>
        <v>10</v>
      </c>
      <c r="AD355" s="55">
        <f>Tabell2[[#This Row],[ReisetidOslo-I]]*Vekter!$C$3</f>
        <v>1.945447897624079</v>
      </c>
      <c r="AE355" s="55">
        <f>Tabell2[[#This Row],[Beftettotal-I]]*Vekter!$D$3</f>
        <v>0.4326295774650859</v>
      </c>
      <c r="AF355" s="55">
        <f>Tabell2[[#This Row],[Befvekst10-I]]*Vekter!$E$3</f>
        <v>5.3357336759222846</v>
      </c>
      <c r="AG355" s="55">
        <f>Tabell2[[#This Row],[Kvinneandel-I]]*Vekter!$F$3</f>
        <v>2.5903808050880528</v>
      </c>
      <c r="AH355" s="55">
        <f>Tabell2[[#This Row],[Eldreandel-I]]*Vekter!$G$3</f>
        <v>2.2751606601366698</v>
      </c>
      <c r="AI355" s="55">
        <f>Tabell2[[#This Row],[Sysselsettingsvekst10-I]]*Vekter!$H$3</f>
        <v>3.3168764825511432</v>
      </c>
      <c r="AJ355" s="55">
        <f>Tabell2[[#This Row],[Yrkesaktivandel-I]]*Vekter!$J$3</f>
        <v>4.158839339290866</v>
      </c>
      <c r="AK355" s="55">
        <f>Tabell2[[#This Row],[Inntekt-I]]*Vekter!$L$3</f>
        <v>4.2094265149756209</v>
      </c>
      <c r="AL355" s="56">
        <f>SUM(Tabell2[[#This Row],[NIBR11-v]:[Inntekt-v]])</f>
        <v>34.264494953053799</v>
      </c>
    </row>
    <row r="356" spans="1:38" x14ac:dyDescent="0.25">
      <c r="A356" s="2" t="s">
        <v>353</v>
      </c>
      <c r="B356">
        <f>'Rådata-K'!M355</f>
        <v>6</v>
      </c>
      <c r="C356" s="7">
        <f>'Rådata-K'!L355</f>
        <v>260.6666666667</v>
      </c>
      <c r="D356" s="34">
        <f>'Rådata-K'!N355</f>
        <v>0.72749045730110018</v>
      </c>
      <c r="E356" s="34">
        <f>'Rådata-K'!O355</f>
        <v>-5.569948186528495E-2</v>
      </c>
      <c r="F356" s="34">
        <f>'Rådata-K'!P355</f>
        <v>9.2592592592592587E-2</v>
      </c>
      <c r="G356" s="34">
        <f>'Rådata-K'!Q355</f>
        <v>0.21810699588477367</v>
      </c>
      <c r="H356" s="34">
        <f>'Rådata-K'!R355</f>
        <v>-3.8240917782026429E-3</v>
      </c>
      <c r="I356" s="34">
        <f>'Rådata-K'!S355</f>
        <v>0.91443167305236273</v>
      </c>
      <c r="J356" s="22">
        <f>'Rådata-K'!K355</f>
        <v>340200</v>
      </c>
      <c r="K356" s="22">
        <f>Tabell2[[#This Row],[NIBR11]]</f>
        <v>6</v>
      </c>
      <c r="L356" s="32">
        <f>IF(Tabell2[[#This Row],[ReisetidOslo]]&lt;=C$434,C$434,IF(Tabell2[[#This Row],[ReisetidOslo]]&gt;=C$435,C$435,Tabell2[[#This Row],[ReisetidOslo]]))</f>
        <v>260.6666666667</v>
      </c>
      <c r="M356" s="32">
        <f>IF(Tabell2[[#This Row],[Beftettotal]]&lt;=D$434,D$434,IF(Tabell2[[#This Row],[Beftettotal]]&gt;=D$435,D$435,Tabell2[[#This Row],[Beftettotal]]))</f>
        <v>1.3297721240876861</v>
      </c>
      <c r="N356" s="34">
        <f>IF(Tabell2[[#This Row],[Befvekst10]]&lt;=E$434,E$434,IF(Tabell2[[#This Row],[Befvekst10]]&gt;=E$435,E$435,Tabell2[[#This Row],[Befvekst10]]))</f>
        <v>-5.569948186528495E-2</v>
      </c>
      <c r="O356" s="34">
        <f>IF(Tabell2[[#This Row],[Kvinneandel]]&lt;=F$434,F$434,IF(Tabell2[[#This Row],[Kvinneandel]]&gt;=F$435,F$435,Tabell2[[#This Row],[Kvinneandel]]))</f>
        <v>9.2592592592592587E-2</v>
      </c>
      <c r="P356" s="34">
        <f>IF(Tabell2[[#This Row],[Eldreandel]]&lt;=G$434,G$434,IF(Tabell2[[#This Row],[Eldreandel]]&gt;=G$435,G$435,Tabell2[[#This Row],[Eldreandel]]))</f>
        <v>0.21438492803547596</v>
      </c>
      <c r="Q356" s="34">
        <f>IF(Tabell2[[#This Row],[Sysselsettingsvekst10]]&lt;=H$434,H$434,IF(Tabell2[[#This Row],[Sysselsettingsvekst10]]&gt;=H$435,H$435,Tabell2[[#This Row],[Sysselsettingsvekst10]]))</f>
        <v>-3.8240917782026429E-3</v>
      </c>
      <c r="R356" s="34">
        <f>IF(Tabell2[[#This Row],[Yrkesaktivandel]]&lt;=I$434,I$434,IF(Tabell2[[#This Row],[Yrkesaktivandel]]&gt;=I$435,I$435,Tabell2[[#This Row],[Yrkesaktivandel]]))</f>
        <v>0.91443167305236273</v>
      </c>
      <c r="S356" s="22">
        <f>IF(Tabell2[[#This Row],[Inntekt]]&lt;=J$434,J$434,IF(Tabell2[[#This Row],[Inntekt]]&gt;=J$435,J$435,Tabell2[[#This Row],[Inntekt]]))</f>
        <v>340200</v>
      </c>
      <c r="T356" s="22">
        <f>IF(Tabell2[[#This Row],[NIBR11-T]]&lt;=K$437,100,IF(Tabell2[[#This Row],[NIBR11-T]]&gt;=K$436,0,100*(K$436-Tabell2[[#This Row],[NIBR11-T]])/K$439))</f>
        <v>50</v>
      </c>
      <c r="U356" s="7">
        <f>IF(Tabell2[[#This Row],[ReisetidOslo-T]]&lt;=L$437,100,IF(Tabell2[[#This Row],[ReisetidOslo-T]]&gt;=L$436,0,100*(L$436-Tabell2[[#This Row],[ReisetidOslo-T]])/L$439))</f>
        <v>8.6829981718411648</v>
      </c>
      <c r="V356" s="7">
        <f>100-(M$436-Tabell2[[#This Row],[Beftettotal-T]])*100/M$439</f>
        <v>0</v>
      </c>
      <c r="W356" s="7">
        <f>100-(N$436-Tabell2[[#This Row],[Befvekst10-T]])*100/N$439</f>
        <v>8.2527104053983464</v>
      </c>
      <c r="X356" s="7">
        <f>100-(O$436-Tabell2[[#This Row],[Kvinneandel-T]])*100/O$439</f>
        <v>5.5555410309863902</v>
      </c>
      <c r="Y356" s="7">
        <f>(P$436-Tabell2[[#This Row],[Eldreandel-T]])*100/P$439</f>
        <v>0</v>
      </c>
      <c r="Z356" s="7">
        <f>100-(Q$436-Tabell2[[#This Row],[Sysselsettingsvekst10-T]])*100/Q$439</f>
        <v>19.610738800805564</v>
      </c>
      <c r="AA356" s="7">
        <f>100-(R$436-Tabell2[[#This Row],[Yrkesaktivandel-T]])*100/R$439</f>
        <v>63.399849237170798</v>
      </c>
      <c r="AB356" s="7">
        <f>100-(S$436-Tabell2[[#This Row],[Inntekt-T]])*100/S$439</f>
        <v>9.9373113536103972</v>
      </c>
      <c r="AC356" s="55">
        <f>Tabell2[[#This Row],[NIBR11-I]]*Vekter!$B$3</f>
        <v>10</v>
      </c>
      <c r="AD356" s="55">
        <f>Tabell2[[#This Row],[ReisetidOslo-I]]*Vekter!$C$3</f>
        <v>0.86829981718411653</v>
      </c>
      <c r="AE356" s="55">
        <f>Tabell2[[#This Row],[Beftettotal-I]]*Vekter!$D$3</f>
        <v>0</v>
      </c>
      <c r="AF356" s="55">
        <f>Tabell2[[#This Row],[Befvekst10-I]]*Vekter!$E$3</f>
        <v>1.6505420810796694</v>
      </c>
      <c r="AG356" s="55">
        <f>Tabell2[[#This Row],[Kvinneandel-I]]*Vekter!$F$3</f>
        <v>0.27777705154931953</v>
      </c>
      <c r="AH356" s="55">
        <f>Tabell2[[#This Row],[Eldreandel-I]]*Vekter!$G$3</f>
        <v>0</v>
      </c>
      <c r="AI356" s="55">
        <f>Tabell2[[#This Row],[Sysselsettingsvekst10-I]]*Vekter!$H$3</f>
        <v>1.9610738800805565</v>
      </c>
      <c r="AJ356" s="55">
        <f>Tabell2[[#This Row],[Yrkesaktivandel-I]]*Vekter!$J$3</f>
        <v>6.33998492371708</v>
      </c>
      <c r="AK356" s="55">
        <f>Tabell2[[#This Row],[Inntekt-I]]*Vekter!$L$3</f>
        <v>0.99373113536103974</v>
      </c>
      <c r="AL356" s="56">
        <f>SUM(Tabell2[[#This Row],[NIBR11-v]:[Inntekt-v]])</f>
        <v>22.091408888971781</v>
      </c>
    </row>
    <row r="357" spans="1:38" x14ac:dyDescent="0.25">
      <c r="A357" s="2" t="s">
        <v>354</v>
      </c>
      <c r="B357">
        <f>'Rådata-K'!M356</f>
        <v>11</v>
      </c>
      <c r="C357" s="7">
        <f>'Rådata-K'!L356</f>
        <v>286.45</v>
      </c>
      <c r="D357" s="34">
        <f>'Rådata-K'!N356</f>
        <v>0.57109648289504567</v>
      </c>
      <c r="E357" s="34">
        <f>'Rådata-K'!O356</f>
        <v>1.9607843137254832E-3</v>
      </c>
      <c r="F357" s="34">
        <f>'Rådata-K'!P356</f>
        <v>8.5453359425962161E-2</v>
      </c>
      <c r="G357" s="34">
        <f>'Rådata-K'!Q356</f>
        <v>0.21135029354207435</v>
      </c>
      <c r="H357" s="34">
        <f>'Rådata-K'!R356</f>
        <v>4.0955631399317349E-2</v>
      </c>
      <c r="I357" s="34">
        <f>'Rådata-K'!S356</f>
        <v>0.85819070904645478</v>
      </c>
      <c r="J357" s="22">
        <f>'Rådata-K'!K356</f>
        <v>300400</v>
      </c>
      <c r="K357" s="22">
        <f>Tabell2[[#This Row],[NIBR11]]</f>
        <v>11</v>
      </c>
      <c r="L357" s="32">
        <f>IF(Tabell2[[#This Row],[ReisetidOslo]]&lt;=C$434,C$434,IF(Tabell2[[#This Row],[ReisetidOslo]]&gt;=C$435,C$435,Tabell2[[#This Row],[ReisetidOslo]]))</f>
        <v>280.45666666669001</v>
      </c>
      <c r="M357" s="32">
        <f>IF(Tabell2[[#This Row],[Beftettotal]]&lt;=D$434,D$434,IF(Tabell2[[#This Row],[Beftettotal]]&gt;=D$435,D$435,Tabell2[[#This Row],[Beftettotal]]))</f>
        <v>1.3297721240876861</v>
      </c>
      <c r="N357" s="34">
        <f>IF(Tabell2[[#This Row],[Befvekst10]]&lt;=E$434,E$434,IF(Tabell2[[#This Row],[Befvekst10]]&gt;=E$435,E$435,Tabell2[[#This Row],[Befvekst10]]))</f>
        <v>1.9607843137254832E-3</v>
      </c>
      <c r="O357" s="34">
        <f>IF(Tabell2[[#This Row],[Kvinneandel]]&lt;=F$434,F$434,IF(Tabell2[[#This Row],[Kvinneandel]]&gt;=F$435,F$435,Tabell2[[#This Row],[Kvinneandel]]))</f>
        <v>9.0490197137593403E-2</v>
      </c>
      <c r="P357" s="34">
        <f>IF(Tabell2[[#This Row],[Eldreandel]]&lt;=G$434,G$434,IF(Tabell2[[#This Row],[Eldreandel]]&gt;=G$435,G$435,Tabell2[[#This Row],[Eldreandel]]))</f>
        <v>0.21135029354207435</v>
      </c>
      <c r="Q357" s="34">
        <f>IF(Tabell2[[#This Row],[Sysselsettingsvekst10]]&lt;=H$434,H$434,IF(Tabell2[[#This Row],[Sysselsettingsvekst10]]&gt;=H$435,H$435,Tabell2[[#This Row],[Sysselsettingsvekst10]]))</f>
        <v>4.0955631399317349E-2</v>
      </c>
      <c r="R357" s="34">
        <f>IF(Tabell2[[#This Row],[Yrkesaktivandel]]&lt;=I$434,I$434,IF(Tabell2[[#This Row],[Yrkesaktivandel]]&gt;=I$435,I$435,Tabell2[[#This Row],[Yrkesaktivandel]]))</f>
        <v>0.85819070904645478</v>
      </c>
      <c r="S357" s="22">
        <f>IF(Tabell2[[#This Row],[Inntekt]]&lt;=J$434,J$434,IF(Tabell2[[#This Row],[Inntekt]]&gt;=J$435,J$435,Tabell2[[#This Row],[Inntekt]]))</f>
        <v>331640</v>
      </c>
      <c r="T357" s="22">
        <f>IF(Tabell2[[#This Row],[NIBR11-T]]&lt;=K$437,100,IF(Tabell2[[#This Row],[NIBR11-T]]&gt;=K$436,0,100*(K$436-Tabell2[[#This Row],[NIBR11-T]])/K$439))</f>
        <v>0</v>
      </c>
      <c r="U357" s="7">
        <f>IF(Tabell2[[#This Row],[ReisetidOslo-T]]&lt;=L$437,100,IF(Tabell2[[#This Row],[ReisetidOslo-T]]&gt;=L$436,0,100*(L$436-Tabell2[[#This Row],[ReisetidOslo-T]])/L$439))</f>
        <v>0</v>
      </c>
      <c r="V357" s="7">
        <f>100-(M$436-Tabell2[[#This Row],[Beftettotal-T]])*100/M$439</f>
        <v>0</v>
      </c>
      <c r="W357" s="7">
        <f>100-(N$436-Tabell2[[#This Row],[Befvekst10-T]])*100/N$439</f>
        <v>31.468841294559724</v>
      </c>
      <c r="X357" s="7">
        <f>100-(O$436-Tabell2[[#This Row],[Kvinneandel-T]])*100/O$439</f>
        <v>0</v>
      </c>
      <c r="Y357" s="7">
        <f>(P$436-Tabell2[[#This Row],[Eldreandel-T]])*100/P$439</f>
        <v>3.325206628407182</v>
      </c>
      <c r="Z357" s="7">
        <f>100-(Q$436-Tabell2[[#This Row],[Sysselsettingsvekst10-T]])*100/Q$439</f>
        <v>32.934538146076875</v>
      </c>
      <c r="AA357" s="7">
        <f>100-(R$436-Tabell2[[#This Row],[Yrkesaktivandel-T]])*100/R$439</f>
        <v>20.156636072894898</v>
      </c>
      <c r="AB357" s="7">
        <f>100-(S$436-Tabell2[[#This Row],[Inntekt-T]])*100/S$439</f>
        <v>0</v>
      </c>
      <c r="AC357" s="55">
        <f>Tabell2[[#This Row],[NIBR11-I]]*Vekter!$B$3</f>
        <v>0</v>
      </c>
      <c r="AD357" s="55">
        <f>Tabell2[[#This Row],[ReisetidOslo-I]]*Vekter!$C$3</f>
        <v>0</v>
      </c>
      <c r="AE357" s="55">
        <f>Tabell2[[#This Row],[Beftettotal-I]]*Vekter!$D$3</f>
        <v>0</v>
      </c>
      <c r="AF357" s="55">
        <f>Tabell2[[#This Row],[Befvekst10-I]]*Vekter!$E$3</f>
        <v>6.2937682589119452</v>
      </c>
      <c r="AG357" s="55">
        <f>Tabell2[[#This Row],[Kvinneandel-I]]*Vekter!$F$3</f>
        <v>0</v>
      </c>
      <c r="AH357" s="55">
        <f>Tabell2[[#This Row],[Eldreandel-I]]*Vekter!$G$3</f>
        <v>0.16626033142035912</v>
      </c>
      <c r="AI357" s="55">
        <f>Tabell2[[#This Row],[Sysselsettingsvekst10-I]]*Vekter!$H$3</f>
        <v>3.2934538146076875</v>
      </c>
      <c r="AJ357" s="55">
        <f>Tabell2[[#This Row],[Yrkesaktivandel-I]]*Vekter!$J$3</f>
        <v>2.0156636072894898</v>
      </c>
      <c r="AK357" s="55">
        <f>Tabell2[[#This Row],[Inntekt-I]]*Vekter!$L$3</f>
        <v>0</v>
      </c>
      <c r="AL357" s="56">
        <f>SUM(Tabell2[[#This Row],[NIBR11-v]:[Inntekt-v]])</f>
        <v>11.769146012229481</v>
      </c>
    </row>
    <row r="358" spans="1:38" x14ac:dyDescent="0.25">
      <c r="A358" s="2" t="s">
        <v>355</v>
      </c>
      <c r="B358">
        <f>'Rådata-K'!M357</f>
        <v>7</v>
      </c>
      <c r="C358" s="7">
        <f>'Rådata-K'!L357</f>
        <v>280.4166666667</v>
      </c>
      <c r="D358" s="34">
        <f>'Rådata-K'!N357</f>
        <v>7.3304157549234139</v>
      </c>
      <c r="E358" s="34">
        <f>'Rådata-K'!O357</f>
        <v>-7.9188481675392719E-2</v>
      </c>
      <c r="F358" s="34">
        <f>'Rådata-K'!P357</f>
        <v>8.3866382373845055E-2</v>
      </c>
      <c r="G358" s="34">
        <f>'Rådata-K'!Q357</f>
        <v>0.19900497512437812</v>
      </c>
      <c r="H358" s="34">
        <f>'Rådata-K'!R357</f>
        <v>-0.10034013605442171</v>
      </c>
      <c r="I358" s="34">
        <f>'Rådata-K'!S357</f>
        <v>0.87915006640106241</v>
      </c>
      <c r="J358" s="22">
        <f>'Rådata-K'!K357</f>
        <v>355400</v>
      </c>
      <c r="K358" s="22">
        <f>Tabell2[[#This Row],[NIBR11]]</f>
        <v>7</v>
      </c>
      <c r="L358" s="32">
        <f>IF(Tabell2[[#This Row],[ReisetidOslo]]&lt;=C$434,C$434,IF(Tabell2[[#This Row],[ReisetidOslo]]&gt;=C$435,C$435,Tabell2[[#This Row],[ReisetidOslo]]))</f>
        <v>280.4166666667</v>
      </c>
      <c r="M358" s="32">
        <f>IF(Tabell2[[#This Row],[Beftettotal]]&lt;=D$434,D$434,IF(Tabell2[[#This Row],[Beftettotal]]&gt;=D$435,D$435,Tabell2[[#This Row],[Beftettotal]]))</f>
        <v>7.3304157549234139</v>
      </c>
      <c r="N358" s="34">
        <f>IF(Tabell2[[#This Row],[Befvekst10]]&lt;=E$434,E$434,IF(Tabell2[[#This Row],[Befvekst10]]&gt;=E$435,E$435,Tabell2[[#This Row],[Befvekst10]]))</f>
        <v>-7.6196156394963507E-2</v>
      </c>
      <c r="O358" s="34">
        <f>IF(Tabell2[[#This Row],[Kvinneandel]]&lt;=F$434,F$434,IF(Tabell2[[#This Row],[Kvinneandel]]&gt;=F$435,F$435,Tabell2[[#This Row],[Kvinneandel]]))</f>
        <v>9.0490197137593403E-2</v>
      </c>
      <c r="P358" s="34">
        <f>IF(Tabell2[[#This Row],[Eldreandel]]&lt;=G$434,G$434,IF(Tabell2[[#This Row],[Eldreandel]]&gt;=G$435,G$435,Tabell2[[#This Row],[Eldreandel]]))</f>
        <v>0.19900497512437812</v>
      </c>
      <c r="Q358" s="34">
        <f>IF(Tabell2[[#This Row],[Sysselsettingsvekst10]]&lt;=H$434,H$434,IF(Tabell2[[#This Row],[Sysselsettingsvekst10]]&gt;=H$435,H$435,Tabell2[[#This Row],[Sysselsettingsvekst10]]))</f>
        <v>-6.9733479337269061E-2</v>
      </c>
      <c r="R358" s="34">
        <f>IF(Tabell2[[#This Row],[Yrkesaktivandel]]&lt;=I$434,I$434,IF(Tabell2[[#This Row],[Yrkesaktivandel]]&gt;=I$435,I$435,Tabell2[[#This Row],[Yrkesaktivandel]]))</f>
        <v>0.87915006640106241</v>
      </c>
      <c r="S358" s="22">
        <f>IF(Tabell2[[#This Row],[Inntekt]]&lt;=J$434,J$434,IF(Tabell2[[#This Row],[Inntekt]]&gt;=J$435,J$435,Tabell2[[#This Row],[Inntekt]]))</f>
        <v>355400</v>
      </c>
      <c r="T358" s="22">
        <f>IF(Tabell2[[#This Row],[NIBR11-T]]&lt;=K$437,100,IF(Tabell2[[#This Row],[NIBR11-T]]&gt;=K$436,0,100*(K$436-Tabell2[[#This Row],[NIBR11-T]])/K$439))</f>
        <v>40</v>
      </c>
      <c r="U358" s="7">
        <f>IF(Tabell2[[#This Row],[ReisetidOslo-T]]&lt;=L$437,100,IF(Tabell2[[#This Row],[ReisetidOslo-T]]&gt;=L$436,0,100*(L$436-Tabell2[[#This Row],[ReisetidOslo-T]])/L$439))</f>
        <v>1.7550274218652399E-2</v>
      </c>
      <c r="V358" s="7">
        <f>100-(M$436-Tabell2[[#This Row],[Beftettotal-T]])*100/M$439</f>
        <v>4.6419225718935877</v>
      </c>
      <c r="W358" s="7">
        <f>100-(N$436-Tabell2[[#This Row],[Befvekst10-T]])*100/N$439</f>
        <v>0</v>
      </c>
      <c r="X358" s="7">
        <f>100-(O$436-Tabell2[[#This Row],[Kvinneandel-T]])*100/O$439</f>
        <v>0</v>
      </c>
      <c r="Y358" s="7">
        <f>(P$436-Tabell2[[#This Row],[Eldreandel-T]])*100/P$439</f>
        <v>16.852613214465549</v>
      </c>
      <c r="Z358" s="7">
        <f>100-(Q$436-Tabell2[[#This Row],[Sysselsettingsvekst10-T]])*100/Q$439</f>
        <v>0</v>
      </c>
      <c r="AA358" s="7">
        <f>100-(R$436-Tabell2[[#This Row],[Yrkesaktivandel-T]])*100/R$439</f>
        <v>36.27211300135442</v>
      </c>
      <c r="AB358" s="7">
        <f>100-(S$436-Tabell2[[#This Row],[Inntekt-T]])*100/S$439</f>
        <v>27.583004411423261</v>
      </c>
      <c r="AC358" s="55">
        <f>Tabell2[[#This Row],[NIBR11-I]]*Vekter!$B$3</f>
        <v>8</v>
      </c>
      <c r="AD358" s="55">
        <f>Tabell2[[#This Row],[ReisetidOslo-I]]*Vekter!$C$3</f>
        <v>1.7550274218652399E-3</v>
      </c>
      <c r="AE358" s="55">
        <f>Tabell2[[#This Row],[Beftettotal-I]]*Vekter!$D$3</f>
        <v>0.4641922571893588</v>
      </c>
      <c r="AF358" s="55">
        <f>Tabell2[[#This Row],[Befvekst10-I]]*Vekter!$E$3</f>
        <v>0</v>
      </c>
      <c r="AG358" s="55">
        <f>Tabell2[[#This Row],[Kvinneandel-I]]*Vekter!$F$3</f>
        <v>0</v>
      </c>
      <c r="AH358" s="55">
        <f>Tabell2[[#This Row],[Eldreandel-I]]*Vekter!$G$3</f>
        <v>0.84263066072327752</v>
      </c>
      <c r="AI358" s="55">
        <f>Tabell2[[#This Row],[Sysselsettingsvekst10-I]]*Vekter!$H$3</f>
        <v>0</v>
      </c>
      <c r="AJ358" s="55">
        <f>Tabell2[[#This Row],[Yrkesaktivandel-I]]*Vekter!$J$3</f>
        <v>3.6272113001354422</v>
      </c>
      <c r="AK358" s="55">
        <f>Tabell2[[#This Row],[Inntekt-I]]*Vekter!$L$3</f>
        <v>2.7583004411423264</v>
      </c>
      <c r="AL358" s="56">
        <f>SUM(Tabell2[[#This Row],[NIBR11-v]:[Inntekt-v]])</f>
        <v>15.694089686612269</v>
      </c>
    </row>
    <row r="359" spans="1:38" x14ac:dyDescent="0.25">
      <c r="A359" s="2" t="s">
        <v>356</v>
      </c>
      <c r="B359">
        <f>'Rådata-K'!M358</f>
        <v>5</v>
      </c>
      <c r="C359" s="7">
        <f>'Rådata-K'!L358</f>
        <v>297.95</v>
      </c>
      <c r="D359" s="34">
        <f>'Rådata-K'!N358</f>
        <v>10.213997161262146</v>
      </c>
      <c r="E359" s="34">
        <f>'Rådata-K'!O358</f>
        <v>3.8867295946696245E-2</v>
      </c>
      <c r="F359" s="34">
        <f>'Rådata-K'!P358</f>
        <v>0.11598075895243186</v>
      </c>
      <c r="G359" s="34">
        <f>'Rådata-K'!Q358</f>
        <v>0.15339390700160341</v>
      </c>
      <c r="H359" s="34">
        <f>'Rådata-K'!R358</f>
        <v>7.9289940828402461E-2</v>
      </c>
      <c r="I359" s="34">
        <f>'Rådata-K'!S358</f>
        <v>0.82560296846011128</v>
      </c>
      <c r="J359" s="22">
        <f>'Rådata-K'!K358</f>
        <v>301300</v>
      </c>
      <c r="K359" s="22">
        <f>Tabell2[[#This Row],[NIBR11]]</f>
        <v>5</v>
      </c>
      <c r="L359" s="32">
        <f>IF(Tabell2[[#This Row],[ReisetidOslo]]&lt;=C$434,C$434,IF(Tabell2[[#This Row],[ReisetidOslo]]&gt;=C$435,C$435,Tabell2[[#This Row],[ReisetidOslo]]))</f>
        <v>280.45666666669001</v>
      </c>
      <c r="M359" s="32">
        <f>IF(Tabell2[[#This Row],[Beftettotal]]&lt;=D$434,D$434,IF(Tabell2[[#This Row],[Beftettotal]]&gt;=D$435,D$435,Tabell2[[#This Row],[Beftettotal]]))</f>
        <v>10.213997161262146</v>
      </c>
      <c r="N359" s="34">
        <f>IF(Tabell2[[#This Row],[Befvekst10]]&lt;=E$434,E$434,IF(Tabell2[[#This Row],[Befvekst10]]&gt;=E$435,E$435,Tabell2[[#This Row],[Befvekst10]]))</f>
        <v>3.8867295946696245E-2</v>
      </c>
      <c r="O359" s="34">
        <f>IF(Tabell2[[#This Row],[Kvinneandel]]&lt;=F$434,F$434,IF(Tabell2[[#This Row],[Kvinneandel]]&gt;=F$435,F$435,Tabell2[[#This Row],[Kvinneandel]]))</f>
        <v>0.11598075895243186</v>
      </c>
      <c r="P359" s="34">
        <f>IF(Tabell2[[#This Row],[Eldreandel]]&lt;=G$434,G$434,IF(Tabell2[[#This Row],[Eldreandel]]&gt;=G$435,G$435,Tabell2[[#This Row],[Eldreandel]]))</f>
        <v>0.15339390700160341</v>
      </c>
      <c r="Q359" s="34">
        <f>IF(Tabell2[[#This Row],[Sysselsettingsvekst10]]&lt;=H$434,H$434,IF(Tabell2[[#This Row],[Sysselsettingsvekst10]]&gt;=H$435,H$435,Tabell2[[#This Row],[Sysselsettingsvekst10]]))</f>
        <v>7.9289940828402461E-2</v>
      </c>
      <c r="R359" s="34">
        <f>IF(Tabell2[[#This Row],[Yrkesaktivandel]]&lt;=I$434,I$434,IF(Tabell2[[#This Row],[Yrkesaktivandel]]&gt;=I$435,I$435,Tabell2[[#This Row],[Yrkesaktivandel]]))</f>
        <v>0.83197552842263423</v>
      </c>
      <c r="S359" s="22">
        <f>IF(Tabell2[[#This Row],[Inntekt]]&lt;=J$434,J$434,IF(Tabell2[[#This Row],[Inntekt]]&gt;=J$435,J$435,Tabell2[[#This Row],[Inntekt]]))</f>
        <v>331640</v>
      </c>
      <c r="T359" s="22">
        <f>IF(Tabell2[[#This Row],[NIBR11-T]]&lt;=K$437,100,IF(Tabell2[[#This Row],[NIBR11-T]]&gt;=K$436,0,100*(K$436-Tabell2[[#This Row],[NIBR11-T]])/K$439))</f>
        <v>60</v>
      </c>
      <c r="U359" s="7">
        <f>IF(Tabell2[[#This Row],[ReisetidOslo-T]]&lt;=L$437,100,IF(Tabell2[[#This Row],[ReisetidOslo-T]]&gt;=L$436,0,100*(L$436-Tabell2[[#This Row],[ReisetidOslo-T]])/L$439))</f>
        <v>0</v>
      </c>
      <c r="V359" s="7">
        <f>100-(M$436-Tabell2[[#This Row],[Beftettotal-T]])*100/M$439</f>
        <v>6.8725768885726382</v>
      </c>
      <c r="W359" s="7">
        <f>100-(N$436-Tabell2[[#This Row],[Befvekst10-T]])*100/N$439</f>
        <v>46.328751966378803</v>
      </c>
      <c r="X359" s="7">
        <f>100-(O$436-Tabell2[[#This Row],[Kvinneandel-T]])*100/O$439</f>
        <v>67.358337237884228</v>
      </c>
      <c r="Y359" s="7">
        <f>(P$436-Tabell2[[#This Row],[Eldreandel-T]])*100/P$439</f>
        <v>66.831029521391244</v>
      </c>
      <c r="Z359" s="7">
        <f>100-(Q$436-Tabell2[[#This Row],[Sysselsettingsvekst10-T]])*100/Q$439</f>
        <v>44.340563253643424</v>
      </c>
      <c r="AA359" s="7">
        <f>100-(R$436-Tabell2[[#This Row],[Yrkesaktivandel-T]])*100/R$439</f>
        <v>0</v>
      </c>
      <c r="AB359" s="7">
        <f>100-(S$436-Tabell2[[#This Row],[Inntekt-T]])*100/S$439</f>
        <v>0</v>
      </c>
      <c r="AC359" s="55">
        <f>Tabell2[[#This Row],[NIBR11-I]]*Vekter!$B$3</f>
        <v>12</v>
      </c>
      <c r="AD359" s="55">
        <f>Tabell2[[#This Row],[ReisetidOslo-I]]*Vekter!$C$3</f>
        <v>0</v>
      </c>
      <c r="AE359" s="55">
        <f>Tabell2[[#This Row],[Beftettotal-I]]*Vekter!$D$3</f>
        <v>0.6872576888572639</v>
      </c>
      <c r="AF359" s="55">
        <f>Tabell2[[#This Row],[Befvekst10-I]]*Vekter!$E$3</f>
        <v>9.265750393275761</v>
      </c>
      <c r="AG359" s="55">
        <f>Tabell2[[#This Row],[Kvinneandel-I]]*Vekter!$F$3</f>
        <v>3.3679168618942117</v>
      </c>
      <c r="AH359" s="55">
        <f>Tabell2[[#This Row],[Eldreandel-I]]*Vekter!$G$3</f>
        <v>3.3415514760695624</v>
      </c>
      <c r="AI359" s="55">
        <f>Tabell2[[#This Row],[Sysselsettingsvekst10-I]]*Vekter!$H$3</f>
        <v>4.4340563253643426</v>
      </c>
      <c r="AJ359" s="55">
        <f>Tabell2[[#This Row],[Yrkesaktivandel-I]]*Vekter!$J$3</f>
        <v>0</v>
      </c>
      <c r="AK359" s="55">
        <f>Tabell2[[#This Row],[Inntekt-I]]*Vekter!$L$3</f>
        <v>0</v>
      </c>
      <c r="AL359" s="56">
        <f>SUM(Tabell2[[#This Row],[NIBR11-v]:[Inntekt-v]])</f>
        <v>33.09653274546114</v>
      </c>
    </row>
    <row r="360" spans="1:38" x14ac:dyDescent="0.25">
      <c r="A360" s="2" t="s">
        <v>357</v>
      </c>
      <c r="B360">
        <f>'Rådata-K'!M359</f>
        <v>5</v>
      </c>
      <c r="C360" s="7">
        <f>'Rådata-K'!L359</f>
        <v>275.21666666670001</v>
      </c>
      <c r="D360" s="34">
        <f>'Rådata-K'!N359</f>
        <v>2.8500572780945905</v>
      </c>
      <c r="E360" s="34">
        <f>'Rådata-K'!O359</f>
        <v>-8.3223828296101754E-3</v>
      </c>
      <c r="F360" s="34">
        <f>'Rådata-K'!P359</f>
        <v>0.10291519434628975</v>
      </c>
      <c r="G360" s="34">
        <f>'Rådata-K'!Q359</f>
        <v>0.19567137809187279</v>
      </c>
      <c r="H360" s="34">
        <f>'Rådata-K'!R359</f>
        <v>1.5686274509803866E-2</v>
      </c>
      <c r="I360" s="34">
        <f>'Rådata-K'!S359</f>
        <v>0.85987002437043059</v>
      </c>
      <c r="J360" s="22">
        <f>'Rådata-K'!K359</f>
        <v>339000</v>
      </c>
      <c r="K360" s="22">
        <f>Tabell2[[#This Row],[NIBR11]]</f>
        <v>5</v>
      </c>
      <c r="L360" s="32">
        <f>IF(Tabell2[[#This Row],[ReisetidOslo]]&lt;=C$434,C$434,IF(Tabell2[[#This Row],[ReisetidOslo]]&gt;=C$435,C$435,Tabell2[[#This Row],[ReisetidOslo]]))</f>
        <v>275.21666666670001</v>
      </c>
      <c r="M360" s="32">
        <f>IF(Tabell2[[#This Row],[Beftettotal]]&lt;=D$434,D$434,IF(Tabell2[[#This Row],[Beftettotal]]&gt;=D$435,D$435,Tabell2[[#This Row],[Beftettotal]]))</f>
        <v>2.8500572780945905</v>
      </c>
      <c r="N360" s="34">
        <f>IF(Tabell2[[#This Row],[Befvekst10]]&lt;=E$434,E$434,IF(Tabell2[[#This Row],[Befvekst10]]&gt;=E$435,E$435,Tabell2[[#This Row],[Befvekst10]]))</f>
        <v>-8.3223828296101754E-3</v>
      </c>
      <c r="O360" s="34">
        <f>IF(Tabell2[[#This Row],[Kvinneandel]]&lt;=F$434,F$434,IF(Tabell2[[#This Row],[Kvinneandel]]&gt;=F$435,F$435,Tabell2[[#This Row],[Kvinneandel]]))</f>
        <v>0.10291519434628975</v>
      </c>
      <c r="P360" s="34">
        <f>IF(Tabell2[[#This Row],[Eldreandel]]&lt;=G$434,G$434,IF(Tabell2[[#This Row],[Eldreandel]]&gt;=G$435,G$435,Tabell2[[#This Row],[Eldreandel]]))</f>
        <v>0.19567137809187279</v>
      </c>
      <c r="Q360" s="34">
        <f>IF(Tabell2[[#This Row],[Sysselsettingsvekst10]]&lt;=H$434,H$434,IF(Tabell2[[#This Row],[Sysselsettingsvekst10]]&gt;=H$435,H$435,Tabell2[[#This Row],[Sysselsettingsvekst10]]))</f>
        <v>1.5686274509803866E-2</v>
      </c>
      <c r="R360" s="34">
        <f>IF(Tabell2[[#This Row],[Yrkesaktivandel]]&lt;=I$434,I$434,IF(Tabell2[[#This Row],[Yrkesaktivandel]]&gt;=I$435,I$435,Tabell2[[#This Row],[Yrkesaktivandel]]))</f>
        <v>0.85987002437043059</v>
      </c>
      <c r="S360" s="22">
        <f>IF(Tabell2[[#This Row],[Inntekt]]&lt;=J$434,J$434,IF(Tabell2[[#This Row],[Inntekt]]&gt;=J$435,J$435,Tabell2[[#This Row],[Inntekt]]))</f>
        <v>339000</v>
      </c>
      <c r="T360" s="22">
        <f>IF(Tabell2[[#This Row],[NIBR11-T]]&lt;=K$437,100,IF(Tabell2[[#This Row],[NIBR11-T]]&gt;=K$436,0,100*(K$436-Tabell2[[#This Row],[NIBR11-T]])/K$439))</f>
        <v>60</v>
      </c>
      <c r="U360" s="7">
        <f>IF(Tabell2[[#This Row],[ReisetidOslo-T]]&lt;=L$437,100,IF(Tabell2[[#This Row],[ReisetidOslo-T]]&gt;=L$436,0,100*(L$436-Tabell2[[#This Row],[ReisetidOslo-T]])/L$439))</f>
        <v>2.299085923212929</v>
      </c>
      <c r="V360" s="7">
        <f>100-(M$436-Tabell2[[#This Row],[Beftettotal-T]])*100/M$439</f>
        <v>1.1760481718719404</v>
      </c>
      <c r="W360" s="7">
        <f>100-(N$436-Tabell2[[#This Row],[Befvekst10-T]])*100/N$439</f>
        <v>27.328462309599203</v>
      </c>
      <c r="X360" s="7">
        <f>100-(O$436-Tabell2[[#This Row],[Kvinneandel-T]])*100/O$439</f>
        <v>32.832824880146433</v>
      </c>
      <c r="Y360" s="7">
        <f>(P$436-Tabell2[[#This Row],[Eldreandel-T]])*100/P$439</f>
        <v>20.505408624597415</v>
      </c>
      <c r="Z360" s="7">
        <f>100-(Q$436-Tabell2[[#This Row],[Sysselsettingsvekst10-T]])*100/Q$439</f>
        <v>25.415870836651735</v>
      </c>
      <c r="AA360" s="7">
        <f>100-(R$436-Tabell2[[#This Row],[Yrkesaktivandel-T]])*100/R$439</f>
        <v>21.447847769001186</v>
      </c>
      <c r="AB360" s="7">
        <f>100-(S$436-Tabell2[[#This Row],[Inntekt-T]])*100/S$439</f>
        <v>8.5442303227304421</v>
      </c>
      <c r="AC360" s="55">
        <f>Tabell2[[#This Row],[NIBR11-I]]*Vekter!$B$3</f>
        <v>12</v>
      </c>
      <c r="AD360" s="55">
        <f>Tabell2[[#This Row],[ReisetidOslo-I]]*Vekter!$C$3</f>
        <v>0.2299085923212929</v>
      </c>
      <c r="AE360" s="55">
        <f>Tabell2[[#This Row],[Beftettotal-I]]*Vekter!$D$3</f>
        <v>0.11760481718719405</v>
      </c>
      <c r="AF360" s="55">
        <f>Tabell2[[#This Row],[Befvekst10-I]]*Vekter!$E$3</f>
        <v>5.4656924619198408</v>
      </c>
      <c r="AG360" s="55">
        <f>Tabell2[[#This Row],[Kvinneandel-I]]*Vekter!$F$3</f>
        <v>1.6416412440073218</v>
      </c>
      <c r="AH360" s="55">
        <f>Tabell2[[#This Row],[Eldreandel-I]]*Vekter!$G$3</f>
        <v>1.0252704312298708</v>
      </c>
      <c r="AI360" s="55">
        <f>Tabell2[[#This Row],[Sysselsettingsvekst10-I]]*Vekter!$H$3</f>
        <v>2.5415870836651737</v>
      </c>
      <c r="AJ360" s="55">
        <f>Tabell2[[#This Row],[Yrkesaktivandel-I]]*Vekter!$J$3</f>
        <v>2.1447847769001185</v>
      </c>
      <c r="AK360" s="55">
        <f>Tabell2[[#This Row],[Inntekt-I]]*Vekter!$L$3</f>
        <v>0.85442303227304428</v>
      </c>
      <c r="AL360" s="56">
        <f>SUM(Tabell2[[#This Row],[NIBR11-v]:[Inntekt-v]])</f>
        <v>26.020912439503853</v>
      </c>
    </row>
    <row r="361" spans="1:38" x14ac:dyDescent="0.25">
      <c r="A361" s="2" t="s">
        <v>358</v>
      </c>
      <c r="B361">
        <f>'Rådata-K'!M360</f>
        <v>5</v>
      </c>
      <c r="C361" s="7">
        <f>'Rådata-K'!L360</f>
        <v>255.1666666667</v>
      </c>
      <c r="D361" s="34">
        <f>'Rådata-K'!N360</f>
        <v>5.8471769736296304</v>
      </c>
      <c r="E361" s="34">
        <f>'Rådata-K'!O360</f>
        <v>2.9936808846761531E-2</v>
      </c>
      <c r="F361" s="34">
        <f>'Rådata-K'!P360</f>
        <v>0.1121251629726206</v>
      </c>
      <c r="G361" s="34">
        <f>'Rådata-K'!Q360</f>
        <v>0.15913797070327479</v>
      </c>
      <c r="H361" s="34">
        <f>'Rådata-K'!R360</f>
        <v>0.15462199614102778</v>
      </c>
      <c r="I361" s="34">
        <f>'Rådata-K'!S360</f>
        <v>0.86617842876165119</v>
      </c>
      <c r="J361" s="22">
        <f>'Rådata-K'!K360</f>
        <v>368800</v>
      </c>
      <c r="K361" s="22">
        <f>Tabell2[[#This Row],[NIBR11]]</f>
        <v>5</v>
      </c>
      <c r="L361" s="32">
        <f>IF(Tabell2[[#This Row],[ReisetidOslo]]&lt;=C$434,C$434,IF(Tabell2[[#This Row],[ReisetidOslo]]&gt;=C$435,C$435,Tabell2[[#This Row],[ReisetidOslo]]))</f>
        <v>255.1666666667</v>
      </c>
      <c r="M361" s="32">
        <f>IF(Tabell2[[#This Row],[Beftettotal]]&lt;=D$434,D$434,IF(Tabell2[[#This Row],[Beftettotal]]&gt;=D$435,D$435,Tabell2[[#This Row],[Beftettotal]]))</f>
        <v>5.8471769736296304</v>
      </c>
      <c r="N361" s="34">
        <f>IF(Tabell2[[#This Row],[Befvekst10]]&lt;=E$434,E$434,IF(Tabell2[[#This Row],[Befvekst10]]&gt;=E$435,E$435,Tabell2[[#This Row],[Befvekst10]]))</f>
        <v>2.9936808846761531E-2</v>
      </c>
      <c r="O361" s="34">
        <f>IF(Tabell2[[#This Row],[Kvinneandel]]&lt;=F$434,F$434,IF(Tabell2[[#This Row],[Kvinneandel]]&gt;=F$435,F$435,Tabell2[[#This Row],[Kvinneandel]]))</f>
        <v>0.1121251629726206</v>
      </c>
      <c r="P361" s="34">
        <f>IF(Tabell2[[#This Row],[Eldreandel]]&lt;=G$434,G$434,IF(Tabell2[[#This Row],[Eldreandel]]&gt;=G$435,G$435,Tabell2[[#This Row],[Eldreandel]]))</f>
        <v>0.15913797070327479</v>
      </c>
      <c r="Q361" s="34">
        <f>IF(Tabell2[[#This Row],[Sysselsettingsvekst10]]&lt;=H$434,H$434,IF(Tabell2[[#This Row],[Sysselsettingsvekst10]]&gt;=H$435,H$435,Tabell2[[#This Row],[Sysselsettingsvekst10]]))</f>
        <v>0.15462199614102778</v>
      </c>
      <c r="R361" s="34">
        <f>IF(Tabell2[[#This Row],[Yrkesaktivandel]]&lt;=I$434,I$434,IF(Tabell2[[#This Row],[Yrkesaktivandel]]&gt;=I$435,I$435,Tabell2[[#This Row],[Yrkesaktivandel]]))</f>
        <v>0.86617842876165119</v>
      </c>
      <c r="S361" s="22">
        <f>IF(Tabell2[[#This Row],[Inntekt]]&lt;=J$434,J$434,IF(Tabell2[[#This Row],[Inntekt]]&gt;=J$435,J$435,Tabell2[[#This Row],[Inntekt]]))</f>
        <v>368800</v>
      </c>
      <c r="T361" s="22">
        <f>IF(Tabell2[[#This Row],[NIBR11-T]]&lt;=K$437,100,IF(Tabell2[[#This Row],[NIBR11-T]]&gt;=K$436,0,100*(K$436-Tabell2[[#This Row],[NIBR11-T]])/K$439))</f>
        <v>60</v>
      </c>
      <c r="U361" s="7">
        <f>IF(Tabell2[[#This Row],[ReisetidOslo-T]]&lt;=L$437,100,IF(Tabell2[[#This Row],[ReisetidOslo-T]]&gt;=L$436,0,100*(L$436-Tabell2[[#This Row],[ReisetidOslo-T]])/L$439))</f>
        <v>11.096160877508193</v>
      </c>
      <c r="V361" s="7">
        <f>100-(M$436-Tabell2[[#This Row],[Beftettotal-T]])*100/M$439</f>
        <v>3.4945323914444515</v>
      </c>
      <c r="W361" s="7">
        <f>100-(N$436-Tabell2[[#This Row],[Befvekst10-T]])*100/N$439</f>
        <v>42.733011413042192</v>
      </c>
      <c r="X361" s="7">
        <f>100-(O$436-Tabell2[[#This Row],[Kvinneandel-T]])*100/O$439</f>
        <v>57.169996308106107</v>
      </c>
      <c r="Y361" s="7">
        <f>(P$436-Tabell2[[#This Row],[Eldreandel-T]])*100/P$439</f>
        <v>60.536960586130171</v>
      </c>
      <c r="Z361" s="7">
        <f>100-(Q$436-Tabell2[[#This Row],[Sysselsettingsvekst10-T]])*100/Q$439</f>
        <v>66.754931142281364</v>
      </c>
      <c r="AA361" s="7">
        <f>100-(R$436-Tabell2[[#This Row],[Yrkesaktivandel-T]])*100/R$439</f>
        <v>26.298327853008104</v>
      </c>
      <c r="AB361" s="7">
        <f>100-(S$436-Tabell2[[#This Row],[Inntekt-T]])*100/S$439</f>
        <v>43.139075922916184</v>
      </c>
      <c r="AC361" s="55">
        <f>Tabell2[[#This Row],[NIBR11-I]]*Vekter!$B$3</f>
        <v>12</v>
      </c>
      <c r="AD361" s="55">
        <f>Tabell2[[#This Row],[ReisetidOslo-I]]*Vekter!$C$3</f>
        <v>1.1096160877508194</v>
      </c>
      <c r="AE361" s="55">
        <f>Tabell2[[#This Row],[Beftettotal-I]]*Vekter!$D$3</f>
        <v>0.34945323914444515</v>
      </c>
      <c r="AF361" s="55">
        <f>Tabell2[[#This Row],[Befvekst10-I]]*Vekter!$E$3</f>
        <v>8.546602282608438</v>
      </c>
      <c r="AG361" s="55">
        <f>Tabell2[[#This Row],[Kvinneandel-I]]*Vekter!$F$3</f>
        <v>2.8584998154053056</v>
      </c>
      <c r="AH361" s="55">
        <f>Tabell2[[#This Row],[Eldreandel-I]]*Vekter!$G$3</f>
        <v>3.0268480293065085</v>
      </c>
      <c r="AI361" s="55">
        <f>Tabell2[[#This Row],[Sysselsettingsvekst10-I]]*Vekter!$H$3</f>
        <v>6.6754931142281366</v>
      </c>
      <c r="AJ361" s="55">
        <f>Tabell2[[#This Row],[Yrkesaktivandel-I]]*Vekter!$J$3</f>
        <v>2.6298327853008105</v>
      </c>
      <c r="AK361" s="55">
        <f>Tabell2[[#This Row],[Inntekt-I]]*Vekter!$L$3</f>
        <v>4.3139075922916188</v>
      </c>
      <c r="AL361" s="56">
        <f>SUM(Tabell2[[#This Row],[NIBR11-v]:[Inntekt-v]])</f>
        <v>41.51025294603609</v>
      </c>
    </row>
    <row r="362" spans="1:38" x14ac:dyDescent="0.25">
      <c r="A362" s="2" t="s">
        <v>359</v>
      </c>
      <c r="B362">
        <f>'Rådata-K'!M361</f>
        <v>11</v>
      </c>
      <c r="C362" s="7">
        <f>'Rådata-K'!L361</f>
        <v>368.98333333300002</v>
      </c>
      <c r="D362" s="34">
        <f>'Rådata-K'!N361</f>
        <v>7.2290519647032205</v>
      </c>
      <c r="E362" s="34">
        <f>'Rådata-K'!O361</f>
        <v>-5.473372781065089E-2</v>
      </c>
      <c r="F362" s="34">
        <f>'Rådata-K'!P361</f>
        <v>9.80699008868023E-2</v>
      </c>
      <c r="G362" s="34">
        <f>'Rådata-K'!Q361</f>
        <v>0.20031298904538342</v>
      </c>
      <c r="H362" s="34">
        <f>'Rådata-K'!R361</f>
        <v>6.714628297362113E-2</v>
      </c>
      <c r="I362" s="34">
        <f>'Rådata-K'!S361</f>
        <v>0.90926640926640923</v>
      </c>
      <c r="J362" s="22">
        <f>'Rådata-K'!K361</f>
        <v>363400</v>
      </c>
      <c r="K362" s="22">
        <f>Tabell2[[#This Row],[NIBR11]]</f>
        <v>11</v>
      </c>
      <c r="L362" s="32">
        <f>IF(Tabell2[[#This Row],[ReisetidOslo]]&lt;=C$434,C$434,IF(Tabell2[[#This Row],[ReisetidOslo]]&gt;=C$435,C$435,Tabell2[[#This Row],[ReisetidOslo]]))</f>
        <v>280.45666666669001</v>
      </c>
      <c r="M362" s="32">
        <f>IF(Tabell2[[#This Row],[Beftettotal]]&lt;=D$434,D$434,IF(Tabell2[[#This Row],[Beftettotal]]&gt;=D$435,D$435,Tabell2[[#This Row],[Beftettotal]]))</f>
        <v>7.2290519647032205</v>
      </c>
      <c r="N362" s="34">
        <f>IF(Tabell2[[#This Row],[Befvekst10]]&lt;=E$434,E$434,IF(Tabell2[[#This Row],[Befvekst10]]&gt;=E$435,E$435,Tabell2[[#This Row],[Befvekst10]]))</f>
        <v>-5.473372781065089E-2</v>
      </c>
      <c r="O362" s="34">
        <f>IF(Tabell2[[#This Row],[Kvinneandel]]&lt;=F$434,F$434,IF(Tabell2[[#This Row],[Kvinneandel]]&gt;=F$435,F$435,Tabell2[[#This Row],[Kvinneandel]]))</f>
        <v>9.80699008868023E-2</v>
      </c>
      <c r="P362" s="34">
        <f>IF(Tabell2[[#This Row],[Eldreandel]]&lt;=G$434,G$434,IF(Tabell2[[#This Row],[Eldreandel]]&gt;=G$435,G$435,Tabell2[[#This Row],[Eldreandel]]))</f>
        <v>0.20031298904538342</v>
      </c>
      <c r="Q362" s="34">
        <f>IF(Tabell2[[#This Row],[Sysselsettingsvekst10]]&lt;=H$434,H$434,IF(Tabell2[[#This Row],[Sysselsettingsvekst10]]&gt;=H$435,H$435,Tabell2[[#This Row],[Sysselsettingsvekst10]]))</f>
        <v>6.714628297362113E-2</v>
      </c>
      <c r="R362" s="34">
        <f>IF(Tabell2[[#This Row],[Yrkesaktivandel]]&lt;=I$434,I$434,IF(Tabell2[[#This Row],[Yrkesaktivandel]]&gt;=I$435,I$435,Tabell2[[#This Row],[Yrkesaktivandel]]))</f>
        <v>0.90926640926640923</v>
      </c>
      <c r="S362" s="22">
        <f>IF(Tabell2[[#This Row],[Inntekt]]&lt;=J$434,J$434,IF(Tabell2[[#This Row],[Inntekt]]&gt;=J$435,J$435,Tabell2[[#This Row],[Inntekt]]))</f>
        <v>363400</v>
      </c>
      <c r="T362" s="22">
        <f>IF(Tabell2[[#This Row],[NIBR11-T]]&lt;=K$437,100,IF(Tabell2[[#This Row],[NIBR11-T]]&gt;=K$436,0,100*(K$436-Tabell2[[#This Row],[NIBR11-T]])/K$439))</f>
        <v>0</v>
      </c>
      <c r="U362" s="7">
        <f>IF(Tabell2[[#This Row],[ReisetidOslo-T]]&lt;=L$437,100,IF(Tabell2[[#This Row],[ReisetidOslo-T]]&gt;=L$436,0,100*(L$436-Tabell2[[#This Row],[ReisetidOslo-T]])/L$439))</f>
        <v>0</v>
      </c>
      <c r="V362" s="7">
        <f>100-(M$436-Tabell2[[#This Row],[Beftettotal-T]])*100/M$439</f>
        <v>4.5635105056649081</v>
      </c>
      <c r="W362" s="7">
        <f>100-(N$436-Tabell2[[#This Row],[Befvekst10-T]])*100/N$439</f>
        <v>8.6415582901707637</v>
      </c>
      <c r="X362" s="7">
        <f>100-(O$436-Tabell2[[#This Row],[Kvinneandel-T]])*100/O$439</f>
        <v>20.029226700106136</v>
      </c>
      <c r="Y362" s="7">
        <f>(P$436-Tabell2[[#This Row],[Eldreandel-T]])*100/P$439</f>
        <v>15.41935442510133</v>
      </c>
      <c r="Z362" s="7">
        <f>100-(Q$436-Tabell2[[#This Row],[Sysselsettingsvekst10-T]])*100/Q$439</f>
        <v>40.727328309485479</v>
      </c>
      <c r="AA362" s="7">
        <f>100-(R$436-Tabell2[[#This Row],[Yrkesaktivandel-T]])*100/R$439</f>
        <v>59.428320532182056</v>
      </c>
      <c r="AB362" s="7">
        <f>100-(S$436-Tabell2[[#This Row],[Inntekt-T]])*100/S$439</f>
        <v>36.870211283956351</v>
      </c>
      <c r="AC362" s="55">
        <f>Tabell2[[#This Row],[NIBR11-I]]*Vekter!$B$3</f>
        <v>0</v>
      </c>
      <c r="AD362" s="55">
        <f>Tabell2[[#This Row],[ReisetidOslo-I]]*Vekter!$C$3</f>
        <v>0</v>
      </c>
      <c r="AE362" s="55">
        <f>Tabell2[[#This Row],[Beftettotal-I]]*Vekter!$D$3</f>
        <v>0.45635105056649083</v>
      </c>
      <c r="AF362" s="55">
        <f>Tabell2[[#This Row],[Befvekst10-I]]*Vekter!$E$3</f>
        <v>1.7283116580341529</v>
      </c>
      <c r="AG362" s="55">
        <f>Tabell2[[#This Row],[Kvinneandel-I]]*Vekter!$F$3</f>
        <v>1.0014613350053068</v>
      </c>
      <c r="AH362" s="55">
        <f>Tabell2[[#This Row],[Eldreandel-I]]*Vekter!$G$3</f>
        <v>0.77096772125506652</v>
      </c>
      <c r="AI362" s="55">
        <f>Tabell2[[#This Row],[Sysselsettingsvekst10-I]]*Vekter!$H$3</f>
        <v>4.0727328309485484</v>
      </c>
      <c r="AJ362" s="55">
        <f>Tabell2[[#This Row],[Yrkesaktivandel-I]]*Vekter!$J$3</f>
        <v>5.942832053218206</v>
      </c>
      <c r="AK362" s="55">
        <f>Tabell2[[#This Row],[Inntekt-I]]*Vekter!$L$3</f>
        <v>3.6870211283956351</v>
      </c>
      <c r="AL362" s="56">
        <f>SUM(Tabell2[[#This Row],[NIBR11-v]:[Inntekt-v]])</f>
        <v>17.659677777423404</v>
      </c>
    </row>
    <row r="363" spans="1:38" x14ac:dyDescent="0.25">
      <c r="A363" s="2" t="s">
        <v>360</v>
      </c>
      <c r="B363">
        <f>'Rådata-K'!M362</f>
        <v>11</v>
      </c>
      <c r="C363" s="7">
        <f>'Rådata-K'!L362</f>
        <v>398.9</v>
      </c>
      <c r="D363" s="34">
        <f>'Rådata-K'!N362</f>
        <v>29.418886198547217</v>
      </c>
      <c r="E363" s="34">
        <f>'Rådata-K'!O362</f>
        <v>9.4594594594594517E-2</v>
      </c>
      <c r="F363" s="34">
        <f>'Rådata-K'!P362</f>
        <v>0.12345679012345678</v>
      </c>
      <c r="G363" s="34">
        <f>'Rådata-K'!Q362</f>
        <v>0.14814814814814814</v>
      </c>
      <c r="H363" s="34">
        <f>'Rådata-K'!R362</f>
        <v>3.7209302325581506E-2</v>
      </c>
      <c r="I363" s="34">
        <f>'Rådata-K'!S362</f>
        <v>0.86690647482014394</v>
      </c>
      <c r="J363" s="22">
        <f>'Rådata-K'!K362</f>
        <v>337200</v>
      </c>
      <c r="K363" s="22">
        <f>Tabell2[[#This Row],[NIBR11]]</f>
        <v>11</v>
      </c>
      <c r="L363" s="32">
        <f>IF(Tabell2[[#This Row],[ReisetidOslo]]&lt;=C$434,C$434,IF(Tabell2[[#This Row],[ReisetidOslo]]&gt;=C$435,C$435,Tabell2[[#This Row],[ReisetidOslo]]))</f>
        <v>280.45666666669001</v>
      </c>
      <c r="M363" s="32">
        <f>IF(Tabell2[[#This Row],[Beftettotal]]&lt;=D$434,D$434,IF(Tabell2[[#This Row],[Beftettotal]]&gt;=D$435,D$435,Tabell2[[#This Row],[Beftettotal]]))</f>
        <v>29.418886198547217</v>
      </c>
      <c r="N363" s="34">
        <f>IF(Tabell2[[#This Row],[Befvekst10]]&lt;=E$434,E$434,IF(Tabell2[[#This Row],[Befvekst10]]&gt;=E$435,E$435,Tabell2[[#This Row],[Befvekst10]]))</f>
        <v>9.4594594594594517E-2</v>
      </c>
      <c r="O363" s="34">
        <f>IF(Tabell2[[#This Row],[Kvinneandel]]&lt;=F$434,F$434,IF(Tabell2[[#This Row],[Kvinneandel]]&gt;=F$435,F$435,Tabell2[[#This Row],[Kvinneandel]]))</f>
        <v>0.12345679012345678</v>
      </c>
      <c r="P363" s="34">
        <f>IF(Tabell2[[#This Row],[Eldreandel]]&lt;=G$434,G$434,IF(Tabell2[[#This Row],[Eldreandel]]&gt;=G$435,G$435,Tabell2[[#This Row],[Eldreandel]]))</f>
        <v>0.14814814814814814</v>
      </c>
      <c r="Q363" s="34">
        <f>IF(Tabell2[[#This Row],[Sysselsettingsvekst10]]&lt;=H$434,H$434,IF(Tabell2[[#This Row],[Sysselsettingsvekst10]]&gt;=H$435,H$435,Tabell2[[#This Row],[Sysselsettingsvekst10]]))</f>
        <v>3.7209302325581506E-2</v>
      </c>
      <c r="R363" s="34">
        <f>IF(Tabell2[[#This Row],[Yrkesaktivandel]]&lt;=I$434,I$434,IF(Tabell2[[#This Row],[Yrkesaktivandel]]&gt;=I$435,I$435,Tabell2[[#This Row],[Yrkesaktivandel]]))</f>
        <v>0.86690647482014394</v>
      </c>
      <c r="S363" s="22">
        <f>IF(Tabell2[[#This Row],[Inntekt]]&lt;=J$434,J$434,IF(Tabell2[[#This Row],[Inntekt]]&gt;=J$435,J$435,Tabell2[[#This Row],[Inntekt]]))</f>
        <v>337200</v>
      </c>
      <c r="T363" s="22">
        <f>IF(Tabell2[[#This Row],[NIBR11-T]]&lt;=K$437,100,IF(Tabell2[[#This Row],[NIBR11-T]]&gt;=K$436,0,100*(K$436-Tabell2[[#This Row],[NIBR11-T]])/K$439))</f>
        <v>0</v>
      </c>
      <c r="U363" s="7">
        <f>IF(Tabell2[[#This Row],[ReisetidOslo-T]]&lt;=L$437,100,IF(Tabell2[[#This Row],[ReisetidOslo-T]]&gt;=L$436,0,100*(L$436-Tabell2[[#This Row],[ReisetidOslo-T]])/L$439))</f>
        <v>0</v>
      </c>
      <c r="V363" s="7">
        <f>100-(M$436-Tabell2[[#This Row],[Beftettotal-T]])*100/M$439</f>
        <v>21.728917874192817</v>
      </c>
      <c r="W363" s="7">
        <f>100-(N$436-Tabell2[[#This Row],[Befvekst10-T]])*100/N$439</f>
        <v>68.766599469412938</v>
      </c>
      <c r="X363" s="7">
        <f>100-(O$436-Tabell2[[#This Row],[Kvinneandel-T]])*100/O$439</f>
        <v>87.113611071264145</v>
      </c>
      <c r="Y363" s="7">
        <f>(P$436-Tabell2[[#This Row],[Eldreandel-T]])*100/P$439</f>
        <v>72.579079953317404</v>
      </c>
      <c r="Z363" s="7">
        <f>100-(Q$436-Tabell2[[#This Row],[Sysselsettingsvekst10-T]])*100/Q$439</f>
        <v>31.819852004272619</v>
      </c>
      <c r="AA363" s="7">
        <f>100-(R$436-Tabell2[[#This Row],[Yrkesaktivandel-T]])*100/R$439</f>
        <v>26.858116460072267</v>
      </c>
      <c r="AB363" s="7">
        <f>100-(S$436-Tabell2[[#This Row],[Inntekt-T]])*100/S$439</f>
        <v>6.4546087764104954</v>
      </c>
      <c r="AC363" s="55">
        <f>Tabell2[[#This Row],[NIBR11-I]]*Vekter!$B$3</f>
        <v>0</v>
      </c>
      <c r="AD363" s="55">
        <f>Tabell2[[#This Row],[ReisetidOslo-I]]*Vekter!$C$3</f>
        <v>0</v>
      </c>
      <c r="AE363" s="55">
        <f>Tabell2[[#This Row],[Beftettotal-I]]*Vekter!$D$3</f>
        <v>2.1728917874192817</v>
      </c>
      <c r="AF363" s="55">
        <f>Tabell2[[#This Row],[Befvekst10-I]]*Vekter!$E$3</f>
        <v>13.753319893882589</v>
      </c>
      <c r="AG363" s="55">
        <f>Tabell2[[#This Row],[Kvinneandel-I]]*Vekter!$F$3</f>
        <v>4.3556805535632073</v>
      </c>
      <c r="AH363" s="55">
        <f>Tabell2[[#This Row],[Eldreandel-I]]*Vekter!$G$3</f>
        <v>3.6289539976658705</v>
      </c>
      <c r="AI363" s="55">
        <f>Tabell2[[#This Row],[Sysselsettingsvekst10-I]]*Vekter!$H$3</f>
        <v>3.181985200427262</v>
      </c>
      <c r="AJ363" s="55">
        <f>Tabell2[[#This Row],[Yrkesaktivandel-I]]*Vekter!$J$3</f>
        <v>2.685811646007227</v>
      </c>
      <c r="AK363" s="55">
        <f>Tabell2[[#This Row],[Inntekt-I]]*Vekter!$L$3</f>
        <v>0.64546087764104954</v>
      </c>
      <c r="AL363" s="56">
        <f>SUM(Tabell2[[#This Row],[NIBR11-v]:[Inntekt-v]])</f>
        <v>30.424103956606487</v>
      </c>
    </row>
    <row r="364" spans="1:38" x14ac:dyDescent="0.25">
      <c r="A364" s="2" t="s">
        <v>361</v>
      </c>
      <c r="B364">
        <f>'Rådata-K'!M363</f>
        <v>11</v>
      </c>
      <c r="C364" s="7">
        <f>'Rådata-K'!L363</f>
        <v>346.51666666699998</v>
      </c>
      <c r="D364" s="34">
        <f>'Rådata-K'!N363</f>
        <v>1.7840824417607446</v>
      </c>
      <c r="E364" s="34">
        <f>'Rådata-K'!O363</f>
        <v>-0.12058212058212059</v>
      </c>
      <c r="F364" s="34">
        <f>'Rådata-K'!P363</f>
        <v>9.5350669818754924E-2</v>
      </c>
      <c r="G364" s="34">
        <f>'Rådata-K'!Q363</f>
        <v>0.17809298660362491</v>
      </c>
      <c r="H364" s="34">
        <f>'Rådata-K'!R363</f>
        <v>-9.1993185689948853E-2</v>
      </c>
      <c r="I364" s="34">
        <f>'Rådata-K'!S363</f>
        <v>0.93797276853252642</v>
      </c>
      <c r="J364" s="22">
        <f>'Rådata-K'!K363</f>
        <v>341000</v>
      </c>
      <c r="K364" s="22">
        <f>Tabell2[[#This Row],[NIBR11]]</f>
        <v>11</v>
      </c>
      <c r="L364" s="32">
        <f>IF(Tabell2[[#This Row],[ReisetidOslo]]&lt;=C$434,C$434,IF(Tabell2[[#This Row],[ReisetidOslo]]&gt;=C$435,C$435,Tabell2[[#This Row],[ReisetidOslo]]))</f>
        <v>280.45666666669001</v>
      </c>
      <c r="M364" s="32">
        <f>IF(Tabell2[[#This Row],[Beftettotal]]&lt;=D$434,D$434,IF(Tabell2[[#This Row],[Beftettotal]]&gt;=D$435,D$435,Tabell2[[#This Row],[Beftettotal]]))</f>
        <v>1.7840824417607446</v>
      </c>
      <c r="N364" s="34">
        <f>IF(Tabell2[[#This Row],[Befvekst10]]&lt;=E$434,E$434,IF(Tabell2[[#This Row],[Befvekst10]]&gt;=E$435,E$435,Tabell2[[#This Row],[Befvekst10]]))</f>
        <v>-7.6196156394963507E-2</v>
      </c>
      <c r="O364" s="34">
        <f>IF(Tabell2[[#This Row],[Kvinneandel]]&lt;=F$434,F$434,IF(Tabell2[[#This Row],[Kvinneandel]]&gt;=F$435,F$435,Tabell2[[#This Row],[Kvinneandel]]))</f>
        <v>9.5350669818754924E-2</v>
      </c>
      <c r="P364" s="34">
        <f>IF(Tabell2[[#This Row],[Eldreandel]]&lt;=G$434,G$434,IF(Tabell2[[#This Row],[Eldreandel]]&gt;=G$435,G$435,Tabell2[[#This Row],[Eldreandel]]))</f>
        <v>0.17809298660362491</v>
      </c>
      <c r="Q364" s="34">
        <f>IF(Tabell2[[#This Row],[Sysselsettingsvekst10]]&lt;=H$434,H$434,IF(Tabell2[[#This Row],[Sysselsettingsvekst10]]&gt;=H$435,H$435,Tabell2[[#This Row],[Sysselsettingsvekst10]]))</f>
        <v>-6.9733479337269061E-2</v>
      </c>
      <c r="R364" s="34">
        <f>IF(Tabell2[[#This Row],[Yrkesaktivandel]]&lt;=I$434,I$434,IF(Tabell2[[#This Row],[Yrkesaktivandel]]&gt;=I$435,I$435,Tabell2[[#This Row],[Yrkesaktivandel]]))</f>
        <v>0.93797276853252642</v>
      </c>
      <c r="S364" s="22">
        <f>IF(Tabell2[[#This Row],[Inntekt]]&lt;=J$434,J$434,IF(Tabell2[[#This Row],[Inntekt]]&gt;=J$435,J$435,Tabell2[[#This Row],[Inntekt]]))</f>
        <v>341000</v>
      </c>
      <c r="T364" s="22">
        <f>IF(Tabell2[[#This Row],[NIBR11-T]]&lt;=K$437,100,IF(Tabell2[[#This Row],[NIBR11-T]]&gt;=K$436,0,100*(K$436-Tabell2[[#This Row],[NIBR11-T]])/K$439))</f>
        <v>0</v>
      </c>
      <c r="U364" s="7">
        <f>IF(Tabell2[[#This Row],[ReisetidOslo-T]]&lt;=L$437,100,IF(Tabell2[[#This Row],[ReisetidOslo-T]]&gt;=L$436,0,100*(L$436-Tabell2[[#This Row],[ReisetidOslo-T]])/L$439))</f>
        <v>0</v>
      </c>
      <c r="V364" s="7">
        <f>100-(M$436-Tabell2[[#This Row],[Beftettotal-T]])*100/M$439</f>
        <v>0.35144118664433677</v>
      </c>
      <c r="W364" s="7">
        <f>100-(N$436-Tabell2[[#This Row],[Befvekst10-T]])*100/N$439</f>
        <v>0</v>
      </c>
      <c r="X364" s="7">
        <f>100-(O$436-Tabell2[[#This Row],[Kvinneandel-T]])*100/O$439</f>
        <v>12.843708992032504</v>
      </c>
      <c r="Y364" s="7">
        <f>(P$436-Tabell2[[#This Row],[Eldreandel-T]])*100/P$439</f>
        <v>39.766965171375482</v>
      </c>
      <c r="Z364" s="7">
        <f>100-(Q$436-Tabell2[[#This Row],[Sysselsettingsvekst10-T]])*100/Q$439</f>
        <v>0</v>
      </c>
      <c r="AA364" s="7">
        <f>100-(R$436-Tabell2[[#This Row],[Yrkesaktivandel-T]])*100/R$439</f>
        <v>81.500403307729641</v>
      </c>
      <c r="AB364" s="7">
        <f>100-(S$436-Tabell2[[#This Row],[Inntekt-T]])*100/S$439</f>
        <v>10.866032040863715</v>
      </c>
      <c r="AC364" s="55">
        <f>Tabell2[[#This Row],[NIBR11-I]]*Vekter!$B$3</f>
        <v>0</v>
      </c>
      <c r="AD364" s="55">
        <f>Tabell2[[#This Row],[ReisetidOslo-I]]*Vekter!$C$3</f>
        <v>0</v>
      </c>
      <c r="AE364" s="55">
        <f>Tabell2[[#This Row],[Beftettotal-I]]*Vekter!$D$3</f>
        <v>3.5144118664433677E-2</v>
      </c>
      <c r="AF364" s="55">
        <f>Tabell2[[#This Row],[Befvekst10-I]]*Vekter!$E$3</f>
        <v>0</v>
      </c>
      <c r="AG364" s="55">
        <f>Tabell2[[#This Row],[Kvinneandel-I]]*Vekter!$F$3</f>
        <v>0.64218544960162527</v>
      </c>
      <c r="AH364" s="55">
        <f>Tabell2[[#This Row],[Eldreandel-I]]*Vekter!$G$3</f>
        <v>1.9883482585687742</v>
      </c>
      <c r="AI364" s="55">
        <f>Tabell2[[#This Row],[Sysselsettingsvekst10-I]]*Vekter!$H$3</f>
        <v>0</v>
      </c>
      <c r="AJ364" s="55">
        <f>Tabell2[[#This Row],[Yrkesaktivandel-I]]*Vekter!$J$3</f>
        <v>8.1500403307729652</v>
      </c>
      <c r="AK364" s="55">
        <f>Tabell2[[#This Row],[Inntekt-I]]*Vekter!$L$3</f>
        <v>1.0866032040863716</v>
      </c>
      <c r="AL364" s="56">
        <f>SUM(Tabell2[[#This Row],[NIBR11-v]:[Inntekt-v]])</f>
        <v>11.902321361694169</v>
      </c>
    </row>
    <row r="365" spans="1:38" x14ac:dyDescent="0.25">
      <c r="A365" s="2" t="s">
        <v>362</v>
      </c>
      <c r="B365">
        <f>'Rådata-K'!M364</f>
        <v>10</v>
      </c>
      <c r="C365" s="7">
        <f>'Rådata-K'!L364</f>
        <v>280.81666666670003</v>
      </c>
      <c r="D365" s="34">
        <f>'Rådata-K'!N364</f>
        <v>7.3858759712987645</v>
      </c>
      <c r="E365" s="34">
        <f>'Rådata-K'!O364</f>
        <v>-4.5125018493860081E-2</v>
      </c>
      <c r="F365" s="34">
        <f>'Rådata-K'!P364</f>
        <v>0.10272699101332507</v>
      </c>
      <c r="G365" s="34">
        <f>'Rådata-K'!Q364</f>
        <v>0.17616981716764796</v>
      </c>
      <c r="H365" s="34">
        <f>'Rådata-K'!R364</f>
        <v>1.1015490533562877E-2</v>
      </c>
      <c r="I365" s="34">
        <f>'Rådata-K'!S364</f>
        <v>0.86595625350532812</v>
      </c>
      <c r="J365" s="22">
        <f>'Rådata-K'!K364</f>
        <v>374600</v>
      </c>
      <c r="K365" s="22">
        <f>Tabell2[[#This Row],[NIBR11]]</f>
        <v>10</v>
      </c>
      <c r="L365" s="32">
        <f>IF(Tabell2[[#This Row],[ReisetidOslo]]&lt;=C$434,C$434,IF(Tabell2[[#This Row],[ReisetidOslo]]&gt;=C$435,C$435,Tabell2[[#This Row],[ReisetidOslo]]))</f>
        <v>280.45666666669001</v>
      </c>
      <c r="M365" s="32">
        <f>IF(Tabell2[[#This Row],[Beftettotal]]&lt;=D$434,D$434,IF(Tabell2[[#This Row],[Beftettotal]]&gt;=D$435,D$435,Tabell2[[#This Row],[Beftettotal]]))</f>
        <v>7.3858759712987645</v>
      </c>
      <c r="N365" s="34">
        <f>IF(Tabell2[[#This Row],[Befvekst10]]&lt;=E$434,E$434,IF(Tabell2[[#This Row],[Befvekst10]]&gt;=E$435,E$435,Tabell2[[#This Row],[Befvekst10]]))</f>
        <v>-4.5125018493860081E-2</v>
      </c>
      <c r="O365" s="34">
        <f>IF(Tabell2[[#This Row],[Kvinneandel]]&lt;=F$434,F$434,IF(Tabell2[[#This Row],[Kvinneandel]]&gt;=F$435,F$435,Tabell2[[#This Row],[Kvinneandel]]))</f>
        <v>0.10272699101332507</v>
      </c>
      <c r="P365" s="34">
        <f>IF(Tabell2[[#This Row],[Eldreandel]]&lt;=G$434,G$434,IF(Tabell2[[#This Row],[Eldreandel]]&gt;=G$435,G$435,Tabell2[[#This Row],[Eldreandel]]))</f>
        <v>0.17616981716764796</v>
      </c>
      <c r="Q365" s="34">
        <f>IF(Tabell2[[#This Row],[Sysselsettingsvekst10]]&lt;=H$434,H$434,IF(Tabell2[[#This Row],[Sysselsettingsvekst10]]&gt;=H$435,H$435,Tabell2[[#This Row],[Sysselsettingsvekst10]]))</f>
        <v>1.1015490533562877E-2</v>
      </c>
      <c r="R365" s="34">
        <f>IF(Tabell2[[#This Row],[Yrkesaktivandel]]&lt;=I$434,I$434,IF(Tabell2[[#This Row],[Yrkesaktivandel]]&gt;=I$435,I$435,Tabell2[[#This Row],[Yrkesaktivandel]]))</f>
        <v>0.86595625350532812</v>
      </c>
      <c r="S365" s="22">
        <f>IF(Tabell2[[#This Row],[Inntekt]]&lt;=J$434,J$434,IF(Tabell2[[#This Row],[Inntekt]]&gt;=J$435,J$435,Tabell2[[#This Row],[Inntekt]]))</f>
        <v>374600</v>
      </c>
      <c r="T365" s="22">
        <f>IF(Tabell2[[#This Row],[NIBR11-T]]&lt;=K$437,100,IF(Tabell2[[#This Row],[NIBR11-T]]&gt;=K$436,0,100*(K$436-Tabell2[[#This Row],[NIBR11-T]])/K$439))</f>
        <v>10</v>
      </c>
      <c r="U365" s="7">
        <f>IF(Tabell2[[#This Row],[ReisetidOslo-T]]&lt;=L$437,100,IF(Tabell2[[#This Row],[ReisetidOslo-T]]&gt;=L$436,0,100*(L$436-Tabell2[[#This Row],[ReisetidOslo-T]])/L$439))</f>
        <v>0</v>
      </c>
      <c r="V365" s="7">
        <f>100-(M$436-Tabell2[[#This Row],[Beftettotal-T]])*100/M$439</f>
        <v>4.6848249747145019</v>
      </c>
      <c r="W365" s="7">
        <f>100-(N$436-Tabell2[[#This Row],[Befvekst10-T]])*100/N$439</f>
        <v>12.51037589989113</v>
      </c>
      <c r="X365" s="7">
        <f>100-(O$436-Tabell2[[#This Row],[Kvinneandel-T]])*100/O$439</f>
        <v>32.335501060325825</v>
      </c>
      <c r="Y365" s="7">
        <f>(P$436-Tabell2[[#This Row],[Eldreandel-T]])*100/P$439</f>
        <v>41.874281808672521</v>
      </c>
      <c r="Z365" s="7">
        <f>100-(Q$436-Tabell2[[#This Row],[Sysselsettingsvekst10-T]])*100/Q$439</f>
        <v>24.026121546826175</v>
      </c>
      <c r="AA365" s="7">
        <f>100-(R$436-Tabell2[[#This Row],[Yrkesaktivandel-T]])*100/R$439</f>
        <v>26.127499131651248</v>
      </c>
      <c r="AB365" s="7">
        <f>100-(S$436-Tabell2[[#This Row],[Inntekt-T]])*100/S$439</f>
        <v>49.872300905502669</v>
      </c>
      <c r="AC365" s="55">
        <f>Tabell2[[#This Row],[NIBR11-I]]*Vekter!$B$3</f>
        <v>2</v>
      </c>
      <c r="AD365" s="55">
        <f>Tabell2[[#This Row],[ReisetidOslo-I]]*Vekter!$C$3</f>
        <v>0</v>
      </c>
      <c r="AE365" s="55">
        <f>Tabell2[[#This Row],[Beftettotal-I]]*Vekter!$D$3</f>
        <v>0.46848249747145021</v>
      </c>
      <c r="AF365" s="55">
        <f>Tabell2[[#This Row],[Befvekst10-I]]*Vekter!$E$3</f>
        <v>2.5020751799782261</v>
      </c>
      <c r="AG365" s="55">
        <f>Tabell2[[#This Row],[Kvinneandel-I]]*Vekter!$F$3</f>
        <v>1.6167750530162914</v>
      </c>
      <c r="AH365" s="55">
        <f>Tabell2[[#This Row],[Eldreandel-I]]*Vekter!$G$3</f>
        <v>2.0937140904336262</v>
      </c>
      <c r="AI365" s="55">
        <f>Tabell2[[#This Row],[Sysselsettingsvekst10-I]]*Vekter!$H$3</f>
        <v>2.4026121546826178</v>
      </c>
      <c r="AJ365" s="55">
        <f>Tabell2[[#This Row],[Yrkesaktivandel-I]]*Vekter!$J$3</f>
        <v>2.6127499131651248</v>
      </c>
      <c r="AK365" s="55">
        <f>Tabell2[[#This Row],[Inntekt-I]]*Vekter!$L$3</f>
        <v>4.9872300905502671</v>
      </c>
      <c r="AL365" s="56">
        <f>SUM(Tabell2[[#This Row],[NIBR11-v]:[Inntekt-v]])</f>
        <v>18.683638979297605</v>
      </c>
    </row>
    <row r="366" spans="1:38" x14ac:dyDescent="0.25">
      <c r="A366" s="2" t="s">
        <v>363</v>
      </c>
      <c r="B366">
        <f>'Rådata-K'!M365</f>
        <v>8</v>
      </c>
      <c r="C366" s="7">
        <f>'Rådata-K'!L365</f>
        <v>258.45</v>
      </c>
      <c r="D366" s="34">
        <f>'Rådata-K'!N365</f>
        <v>3.0300750748491736</v>
      </c>
      <c r="E366" s="34">
        <f>'Rådata-K'!O365</f>
        <v>-7.5298438934802592E-2</v>
      </c>
      <c r="F366" s="34">
        <f>'Rådata-K'!P365</f>
        <v>9.384309831181728E-2</v>
      </c>
      <c r="G366" s="34">
        <f>'Rådata-K'!Q365</f>
        <v>0.21350546176762661</v>
      </c>
      <c r="H366" s="34">
        <f>'Rådata-K'!R365</f>
        <v>3.363518758085382E-2</v>
      </c>
      <c r="I366" s="34">
        <f>'Rådata-K'!S365</f>
        <v>0.86715867158671589</v>
      </c>
      <c r="J366" s="22">
        <f>'Rådata-K'!K365</f>
        <v>366800</v>
      </c>
      <c r="K366" s="22">
        <f>Tabell2[[#This Row],[NIBR11]]</f>
        <v>8</v>
      </c>
      <c r="L366" s="32">
        <f>IF(Tabell2[[#This Row],[ReisetidOslo]]&lt;=C$434,C$434,IF(Tabell2[[#This Row],[ReisetidOslo]]&gt;=C$435,C$435,Tabell2[[#This Row],[ReisetidOslo]]))</f>
        <v>258.45</v>
      </c>
      <c r="M366" s="32">
        <f>IF(Tabell2[[#This Row],[Beftettotal]]&lt;=D$434,D$434,IF(Tabell2[[#This Row],[Beftettotal]]&gt;=D$435,D$435,Tabell2[[#This Row],[Beftettotal]]))</f>
        <v>3.0300750748491736</v>
      </c>
      <c r="N366" s="34">
        <f>IF(Tabell2[[#This Row],[Befvekst10]]&lt;=E$434,E$434,IF(Tabell2[[#This Row],[Befvekst10]]&gt;=E$435,E$435,Tabell2[[#This Row],[Befvekst10]]))</f>
        <v>-7.5298438934802592E-2</v>
      </c>
      <c r="O366" s="34">
        <f>IF(Tabell2[[#This Row],[Kvinneandel]]&lt;=F$434,F$434,IF(Tabell2[[#This Row],[Kvinneandel]]&gt;=F$435,F$435,Tabell2[[#This Row],[Kvinneandel]]))</f>
        <v>9.384309831181728E-2</v>
      </c>
      <c r="P366" s="34">
        <f>IF(Tabell2[[#This Row],[Eldreandel]]&lt;=G$434,G$434,IF(Tabell2[[#This Row],[Eldreandel]]&gt;=G$435,G$435,Tabell2[[#This Row],[Eldreandel]]))</f>
        <v>0.21350546176762661</v>
      </c>
      <c r="Q366" s="34">
        <f>IF(Tabell2[[#This Row],[Sysselsettingsvekst10]]&lt;=H$434,H$434,IF(Tabell2[[#This Row],[Sysselsettingsvekst10]]&gt;=H$435,H$435,Tabell2[[#This Row],[Sysselsettingsvekst10]]))</f>
        <v>3.363518758085382E-2</v>
      </c>
      <c r="R366" s="34">
        <f>IF(Tabell2[[#This Row],[Yrkesaktivandel]]&lt;=I$434,I$434,IF(Tabell2[[#This Row],[Yrkesaktivandel]]&gt;=I$435,I$435,Tabell2[[#This Row],[Yrkesaktivandel]]))</f>
        <v>0.86715867158671589</v>
      </c>
      <c r="S366" s="22">
        <f>IF(Tabell2[[#This Row],[Inntekt]]&lt;=J$434,J$434,IF(Tabell2[[#This Row],[Inntekt]]&gt;=J$435,J$435,Tabell2[[#This Row],[Inntekt]]))</f>
        <v>366800</v>
      </c>
      <c r="T366" s="22">
        <f>IF(Tabell2[[#This Row],[NIBR11-T]]&lt;=K$437,100,IF(Tabell2[[#This Row],[NIBR11-T]]&gt;=K$436,0,100*(K$436-Tabell2[[#This Row],[NIBR11-T]])/K$439))</f>
        <v>30</v>
      </c>
      <c r="U366" s="7">
        <f>IF(Tabell2[[#This Row],[ReisetidOslo-T]]&lt;=L$437,100,IF(Tabell2[[#This Row],[ReisetidOslo-T]]&gt;=L$436,0,100*(L$436-Tabell2[[#This Row],[ReisetidOslo-T]])/L$439))</f>
        <v>9.6555758683822024</v>
      </c>
      <c r="V366" s="7">
        <f>100-(M$436-Tabell2[[#This Row],[Beftettotal-T]])*100/M$439</f>
        <v>1.3153046792578493</v>
      </c>
      <c r="W366" s="7">
        <f>100-(N$436-Tabell2[[#This Row],[Befvekst10-T]])*100/N$439</f>
        <v>0.36145386481355501</v>
      </c>
      <c r="X366" s="7">
        <f>100-(O$436-Tabell2[[#This Row],[Kvinneandel-T]])*100/O$439</f>
        <v>8.8599792212975643</v>
      </c>
      <c r="Y366" s="7">
        <f>(P$436-Tabell2[[#This Row],[Eldreandel-T]])*100/P$439</f>
        <v>0.96367686773214445</v>
      </c>
      <c r="Z366" s="7">
        <f>100-(Q$436-Tabell2[[#This Row],[Sysselsettingsvekst10-T]])*100/Q$439</f>
        <v>30.756406669719198</v>
      </c>
      <c r="AA366" s="7">
        <f>100-(R$436-Tabell2[[#This Row],[Yrkesaktivandel-T]])*100/R$439</f>
        <v>27.052028472943633</v>
      </c>
      <c r="AB366" s="7">
        <f>100-(S$436-Tabell2[[#This Row],[Inntekt-T]])*100/S$439</f>
        <v>40.817274204782912</v>
      </c>
      <c r="AC366" s="55">
        <f>Tabell2[[#This Row],[NIBR11-I]]*Vekter!$B$3</f>
        <v>6</v>
      </c>
      <c r="AD366" s="55">
        <f>Tabell2[[#This Row],[ReisetidOslo-I]]*Vekter!$C$3</f>
        <v>0.96555758683822024</v>
      </c>
      <c r="AE366" s="55">
        <f>Tabell2[[#This Row],[Beftettotal-I]]*Vekter!$D$3</f>
        <v>0.13153046792578493</v>
      </c>
      <c r="AF366" s="55">
        <f>Tabell2[[#This Row],[Befvekst10-I]]*Vekter!$E$3</f>
        <v>7.2290772962711011E-2</v>
      </c>
      <c r="AG366" s="55">
        <f>Tabell2[[#This Row],[Kvinneandel-I]]*Vekter!$F$3</f>
        <v>0.44299896106487824</v>
      </c>
      <c r="AH366" s="55">
        <f>Tabell2[[#This Row],[Eldreandel-I]]*Vekter!$G$3</f>
        <v>4.8183843386607222E-2</v>
      </c>
      <c r="AI366" s="55">
        <f>Tabell2[[#This Row],[Sysselsettingsvekst10-I]]*Vekter!$H$3</f>
        <v>3.0756406669719198</v>
      </c>
      <c r="AJ366" s="55">
        <f>Tabell2[[#This Row],[Yrkesaktivandel-I]]*Vekter!$J$3</f>
        <v>2.7052028472943634</v>
      </c>
      <c r="AK366" s="55">
        <f>Tabell2[[#This Row],[Inntekt-I]]*Vekter!$L$3</f>
        <v>4.0817274204782912</v>
      </c>
      <c r="AL366" s="56">
        <f>SUM(Tabell2[[#This Row],[NIBR11-v]:[Inntekt-v]])</f>
        <v>17.523132566922776</v>
      </c>
    </row>
    <row r="367" spans="1:38" x14ac:dyDescent="0.25">
      <c r="A367" s="2" t="s">
        <v>364</v>
      </c>
      <c r="B367">
        <f>'Rådata-K'!M366</f>
        <v>11</v>
      </c>
      <c r="C367" s="7">
        <f>'Rådata-K'!L366</f>
        <v>272.98333333329998</v>
      </c>
      <c r="D367" s="34">
        <f>'Rådata-K'!N366</f>
        <v>0.86596385542168675</v>
      </c>
      <c r="E367" s="34">
        <f>'Rådata-K'!O366</f>
        <v>-9.1845493562231706E-2</v>
      </c>
      <c r="F367" s="34">
        <f>'Rådata-K'!P366</f>
        <v>8.5066162570888462E-2</v>
      </c>
      <c r="G367" s="34">
        <f>'Rådata-K'!Q366</f>
        <v>0.24291115311909262</v>
      </c>
      <c r="H367" s="34">
        <f>'Rådata-K'!R366</f>
        <v>0.10336538461538458</v>
      </c>
      <c r="I367" s="34">
        <f>'Rådata-K'!S366</f>
        <v>0.89824561403508774</v>
      </c>
      <c r="J367" s="22">
        <f>'Rådata-K'!K366</f>
        <v>340600</v>
      </c>
      <c r="K367" s="22">
        <f>Tabell2[[#This Row],[NIBR11]]</f>
        <v>11</v>
      </c>
      <c r="L367" s="32">
        <f>IF(Tabell2[[#This Row],[ReisetidOslo]]&lt;=C$434,C$434,IF(Tabell2[[#This Row],[ReisetidOslo]]&gt;=C$435,C$435,Tabell2[[#This Row],[ReisetidOslo]]))</f>
        <v>272.98333333329998</v>
      </c>
      <c r="M367" s="32">
        <f>IF(Tabell2[[#This Row],[Beftettotal]]&lt;=D$434,D$434,IF(Tabell2[[#This Row],[Beftettotal]]&gt;=D$435,D$435,Tabell2[[#This Row],[Beftettotal]]))</f>
        <v>1.3297721240876861</v>
      </c>
      <c r="N367" s="34">
        <f>IF(Tabell2[[#This Row],[Befvekst10]]&lt;=E$434,E$434,IF(Tabell2[[#This Row],[Befvekst10]]&gt;=E$435,E$435,Tabell2[[#This Row],[Befvekst10]]))</f>
        <v>-7.6196156394963507E-2</v>
      </c>
      <c r="O367" s="34">
        <f>IF(Tabell2[[#This Row],[Kvinneandel]]&lt;=F$434,F$434,IF(Tabell2[[#This Row],[Kvinneandel]]&gt;=F$435,F$435,Tabell2[[#This Row],[Kvinneandel]]))</f>
        <v>9.0490197137593403E-2</v>
      </c>
      <c r="P367" s="34">
        <f>IF(Tabell2[[#This Row],[Eldreandel]]&lt;=G$434,G$434,IF(Tabell2[[#This Row],[Eldreandel]]&gt;=G$435,G$435,Tabell2[[#This Row],[Eldreandel]]))</f>
        <v>0.21438492803547596</v>
      </c>
      <c r="Q367" s="34">
        <f>IF(Tabell2[[#This Row],[Sysselsettingsvekst10]]&lt;=H$434,H$434,IF(Tabell2[[#This Row],[Sysselsettingsvekst10]]&gt;=H$435,H$435,Tabell2[[#This Row],[Sysselsettingsvekst10]]))</f>
        <v>0.10336538461538458</v>
      </c>
      <c r="R367" s="34">
        <f>IF(Tabell2[[#This Row],[Yrkesaktivandel]]&lt;=I$434,I$434,IF(Tabell2[[#This Row],[Yrkesaktivandel]]&gt;=I$435,I$435,Tabell2[[#This Row],[Yrkesaktivandel]]))</f>
        <v>0.89824561403508774</v>
      </c>
      <c r="S367" s="22">
        <f>IF(Tabell2[[#This Row],[Inntekt]]&lt;=J$434,J$434,IF(Tabell2[[#This Row],[Inntekt]]&gt;=J$435,J$435,Tabell2[[#This Row],[Inntekt]]))</f>
        <v>340600</v>
      </c>
      <c r="T367" s="22">
        <f>IF(Tabell2[[#This Row],[NIBR11-T]]&lt;=K$437,100,IF(Tabell2[[#This Row],[NIBR11-T]]&gt;=K$436,0,100*(K$436-Tabell2[[#This Row],[NIBR11-T]])/K$439))</f>
        <v>0</v>
      </c>
      <c r="U367" s="7">
        <f>IF(Tabell2[[#This Row],[ReisetidOslo-T]]&lt;=L$437,100,IF(Tabell2[[#This Row],[ReisetidOslo-T]]&gt;=L$436,0,100*(L$436-Tabell2[[#This Row],[ReisetidOslo-T]])/L$439))</f>
        <v>3.2789762340281965</v>
      </c>
      <c r="V367" s="7">
        <f>100-(M$436-Tabell2[[#This Row],[Beftettotal-T]])*100/M$439</f>
        <v>0</v>
      </c>
      <c r="W367" s="7">
        <f>100-(N$436-Tabell2[[#This Row],[Befvekst10-T]])*100/N$439</f>
        <v>0</v>
      </c>
      <c r="X367" s="7">
        <f>100-(O$436-Tabell2[[#This Row],[Kvinneandel-T]])*100/O$439</f>
        <v>0</v>
      </c>
      <c r="Y367" s="7">
        <f>(P$436-Tabell2[[#This Row],[Eldreandel-T]])*100/P$439</f>
        <v>0</v>
      </c>
      <c r="Z367" s="7">
        <f>100-(Q$436-Tabell2[[#This Row],[Sysselsettingsvekst10-T]])*100/Q$439</f>
        <v>51.503992578439757</v>
      </c>
      <c r="AA367" s="7">
        <f>100-(R$436-Tabell2[[#This Row],[Yrkesaktivandel-T]])*100/R$439</f>
        <v>50.954522014471586</v>
      </c>
      <c r="AB367" s="7">
        <f>100-(S$436-Tabell2[[#This Row],[Inntekt-T]])*100/S$439</f>
        <v>10.401671697237049</v>
      </c>
      <c r="AC367" s="55">
        <f>Tabell2[[#This Row],[NIBR11-I]]*Vekter!$B$3</f>
        <v>0</v>
      </c>
      <c r="AD367" s="55">
        <f>Tabell2[[#This Row],[ReisetidOslo-I]]*Vekter!$C$3</f>
        <v>0.32789762340281969</v>
      </c>
      <c r="AE367" s="55">
        <f>Tabell2[[#This Row],[Beftettotal-I]]*Vekter!$D$3</f>
        <v>0</v>
      </c>
      <c r="AF367" s="55">
        <f>Tabell2[[#This Row],[Befvekst10-I]]*Vekter!$E$3</f>
        <v>0</v>
      </c>
      <c r="AG367" s="55">
        <f>Tabell2[[#This Row],[Kvinneandel-I]]*Vekter!$F$3</f>
        <v>0</v>
      </c>
      <c r="AH367" s="55">
        <f>Tabell2[[#This Row],[Eldreandel-I]]*Vekter!$G$3</f>
        <v>0</v>
      </c>
      <c r="AI367" s="55">
        <f>Tabell2[[#This Row],[Sysselsettingsvekst10-I]]*Vekter!$H$3</f>
        <v>5.1503992578439757</v>
      </c>
      <c r="AJ367" s="55">
        <f>Tabell2[[#This Row],[Yrkesaktivandel-I]]*Vekter!$J$3</f>
        <v>5.0954522014471593</v>
      </c>
      <c r="AK367" s="55">
        <f>Tabell2[[#This Row],[Inntekt-I]]*Vekter!$L$3</f>
        <v>1.0401671697237049</v>
      </c>
      <c r="AL367" s="56">
        <f>SUM(Tabell2[[#This Row],[NIBR11-v]:[Inntekt-v]])</f>
        <v>11.61391625241766</v>
      </c>
    </row>
    <row r="368" spans="1:38" x14ac:dyDescent="0.25">
      <c r="A368" s="2" t="s">
        <v>365</v>
      </c>
      <c r="B368">
        <f>'Rådata-K'!M367</f>
        <v>6</v>
      </c>
      <c r="C368" s="7">
        <f>'Rådata-K'!L367</f>
        <v>256.85000000000002</v>
      </c>
      <c r="D368" s="34">
        <f>'Rådata-K'!N367</f>
        <v>2.1361177166011633</v>
      </c>
      <c r="E368" s="34">
        <f>'Rådata-K'!O367</f>
        <v>-1.375000000000004E-2</v>
      </c>
      <c r="F368" s="34">
        <f>'Rådata-K'!P367</f>
        <v>0.10583016476552598</v>
      </c>
      <c r="G368" s="34">
        <f>'Rådata-K'!Q367</f>
        <v>0.18018588931136459</v>
      </c>
      <c r="H368" s="34">
        <f>'Rådata-K'!R367</f>
        <v>5.0479555779909147E-2</v>
      </c>
      <c r="I368" s="34">
        <f>'Rådata-K'!S367</f>
        <v>0.85486856719733428</v>
      </c>
      <c r="J368" s="22">
        <f>'Rådata-K'!K367</f>
        <v>336400</v>
      </c>
      <c r="K368" s="22">
        <f>Tabell2[[#This Row],[NIBR11]]</f>
        <v>6</v>
      </c>
      <c r="L368" s="32">
        <f>IF(Tabell2[[#This Row],[ReisetidOslo]]&lt;=C$434,C$434,IF(Tabell2[[#This Row],[ReisetidOslo]]&gt;=C$435,C$435,Tabell2[[#This Row],[ReisetidOslo]]))</f>
        <v>256.85000000000002</v>
      </c>
      <c r="M368" s="32">
        <f>IF(Tabell2[[#This Row],[Beftettotal]]&lt;=D$434,D$434,IF(Tabell2[[#This Row],[Beftettotal]]&gt;=D$435,D$435,Tabell2[[#This Row],[Beftettotal]]))</f>
        <v>2.1361177166011633</v>
      </c>
      <c r="N368" s="34">
        <f>IF(Tabell2[[#This Row],[Befvekst10]]&lt;=E$434,E$434,IF(Tabell2[[#This Row],[Befvekst10]]&gt;=E$435,E$435,Tabell2[[#This Row],[Befvekst10]]))</f>
        <v>-1.375000000000004E-2</v>
      </c>
      <c r="O368" s="34">
        <f>IF(Tabell2[[#This Row],[Kvinneandel]]&lt;=F$434,F$434,IF(Tabell2[[#This Row],[Kvinneandel]]&gt;=F$435,F$435,Tabell2[[#This Row],[Kvinneandel]]))</f>
        <v>0.10583016476552598</v>
      </c>
      <c r="P368" s="34">
        <f>IF(Tabell2[[#This Row],[Eldreandel]]&lt;=G$434,G$434,IF(Tabell2[[#This Row],[Eldreandel]]&gt;=G$435,G$435,Tabell2[[#This Row],[Eldreandel]]))</f>
        <v>0.18018588931136459</v>
      </c>
      <c r="Q368" s="34">
        <f>IF(Tabell2[[#This Row],[Sysselsettingsvekst10]]&lt;=H$434,H$434,IF(Tabell2[[#This Row],[Sysselsettingsvekst10]]&gt;=H$435,H$435,Tabell2[[#This Row],[Sysselsettingsvekst10]]))</f>
        <v>5.0479555779909147E-2</v>
      </c>
      <c r="R368" s="34">
        <f>IF(Tabell2[[#This Row],[Yrkesaktivandel]]&lt;=I$434,I$434,IF(Tabell2[[#This Row],[Yrkesaktivandel]]&gt;=I$435,I$435,Tabell2[[#This Row],[Yrkesaktivandel]]))</f>
        <v>0.85486856719733428</v>
      </c>
      <c r="S368" s="22">
        <f>IF(Tabell2[[#This Row],[Inntekt]]&lt;=J$434,J$434,IF(Tabell2[[#This Row],[Inntekt]]&gt;=J$435,J$435,Tabell2[[#This Row],[Inntekt]]))</f>
        <v>336400</v>
      </c>
      <c r="T368" s="22">
        <f>IF(Tabell2[[#This Row],[NIBR11-T]]&lt;=K$437,100,IF(Tabell2[[#This Row],[NIBR11-T]]&gt;=K$436,0,100*(K$436-Tabell2[[#This Row],[NIBR11-T]])/K$439))</f>
        <v>50</v>
      </c>
      <c r="U368" s="7">
        <f>IF(Tabell2[[#This Row],[ReisetidOslo-T]]&lt;=L$437,100,IF(Tabell2[[#This Row],[ReisetidOslo-T]]&gt;=L$436,0,100*(L$436-Tabell2[[#This Row],[ReisetidOslo-T]])/L$439))</f>
        <v>10.357586837303504</v>
      </c>
      <c r="V368" s="7">
        <f>100-(M$436-Tabell2[[#This Row],[Beftettotal-T]])*100/M$439</f>
        <v>0.62376538866614339</v>
      </c>
      <c r="W368" s="7">
        <f>100-(N$436-Tabell2[[#This Row],[Befvekst10-T]])*100/N$439</f>
        <v>25.143105234541153</v>
      </c>
      <c r="X368" s="7">
        <f>100-(O$436-Tabell2[[#This Row],[Kvinneandel-T]])*100/O$439</f>
        <v>40.535580196550399</v>
      </c>
      <c r="Y368" s="7">
        <f>(P$436-Tabell2[[#This Row],[Eldreandel-T]])*100/P$439</f>
        <v>37.473662972537561</v>
      </c>
      <c r="Z368" s="7">
        <f>100-(Q$436-Tabell2[[#This Row],[Sysselsettingsvekst10-T]])*100/Q$439</f>
        <v>35.76829522232083</v>
      </c>
      <c r="AA368" s="7">
        <f>100-(R$436-Tabell2[[#This Row],[Yrkesaktivandel-T]])*100/R$439</f>
        <v>17.602268617024322</v>
      </c>
      <c r="AB368" s="7">
        <f>100-(S$436-Tabell2[[#This Row],[Inntekt-T]])*100/S$439</f>
        <v>5.525888089157192</v>
      </c>
      <c r="AC368" s="55">
        <f>Tabell2[[#This Row],[NIBR11-I]]*Vekter!$B$3</f>
        <v>10</v>
      </c>
      <c r="AD368" s="55">
        <f>Tabell2[[#This Row],[ReisetidOslo-I]]*Vekter!$C$3</f>
        <v>1.0357586837303505</v>
      </c>
      <c r="AE368" s="55">
        <f>Tabell2[[#This Row],[Beftettotal-I]]*Vekter!$D$3</f>
        <v>6.2376538866614345E-2</v>
      </c>
      <c r="AF368" s="55">
        <f>Tabell2[[#This Row],[Befvekst10-I]]*Vekter!$E$3</f>
        <v>5.0286210469082313</v>
      </c>
      <c r="AG368" s="55">
        <f>Tabell2[[#This Row],[Kvinneandel-I]]*Vekter!$F$3</f>
        <v>2.02677900982752</v>
      </c>
      <c r="AH368" s="55">
        <f>Tabell2[[#This Row],[Eldreandel-I]]*Vekter!$G$3</f>
        <v>1.8736831486268781</v>
      </c>
      <c r="AI368" s="55">
        <f>Tabell2[[#This Row],[Sysselsettingsvekst10-I]]*Vekter!$H$3</f>
        <v>3.5768295222320834</v>
      </c>
      <c r="AJ368" s="55">
        <f>Tabell2[[#This Row],[Yrkesaktivandel-I]]*Vekter!$J$3</f>
        <v>1.7602268617024324</v>
      </c>
      <c r="AK368" s="55">
        <f>Tabell2[[#This Row],[Inntekt-I]]*Vekter!$L$3</f>
        <v>0.55258880891571927</v>
      </c>
      <c r="AL368" s="56">
        <f>SUM(Tabell2[[#This Row],[NIBR11-v]:[Inntekt-v]])</f>
        <v>25.916863620809828</v>
      </c>
    </row>
    <row r="369" spans="1:38" x14ac:dyDescent="0.25">
      <c r="A369" s="2" t="s">
        <v>366</v>
      </c>
      <c r="B369">
        <f>'Rådata-K'!M368</f>
        <v>5</v>
      </c>
      <c r="C369" s="7">
        <f>'Rådata-K'!L368</f>
        <v>231.1666666667</v>
      </c>
      <c r="D369" s="34">
        <f>'Rådata-K'!N368</f>
        <v>7.9548272954248587</v>
      </c>
      <c r="E369" s="34">
        <f>'Rådata-K'!O368</f>
        <v>7.6447795580689704E-3</v>
      </c>
      <c r="F369" s="34">
        <f>'Rådata-K'!P368</f>
        <v>0.10496778216586988</v>
      </c>
      <c r="G369" s="34">
        <f>'Rådata-K'!Q368</f>
        <v>0.17647058823529413</v>
      </c>
      <c r="H369" s="34">
        <f>'Rådata-K'!R368</f>
        <v>0.13657142857142857</v>
      </c>
      <c r="I369" s="34">
        <f>'Rådata-K'!S368</f>
        <v>0.87497705158803007</v>
      </c>
      <c r="J369" s="22">
        <f>'Rådata-K'!K368</f>
        <v>366800</v>
      </c>
      <c r="K369" s="22">
        <f>Tabell2[[#This Row],[NIBR11]]</f>
        <v>5</v>
      </c>
      <c r="L369" s="32">
        <f>IF(Tabell2[[#This Row],[ReisetidOslo]]&lt;=C$434,C$434,IF(Tabell2[[#This Row],[ReisetidOslo]]&gt;=C$435,C$435,Tabell2[[#This Row],[ReisetidOslo]]))</f>
        <v>231.1666666667</v>
      </c>
      <c r="M369" s="32">
        <f>IF(Tabell2[[#This Row],[Beftettotal]]&lt;=D$434,D$434,IF(Tabell2[[#This Row],[Beftettotal]]&gt;=D$435,D$435,Tabell2[[#This Row],[Beftettotal]]))</f>
        <v>7.9548272954248587</v>
      </c>
      <c r="N369" s="34">
        <f>IF(Tabell2[[#This Row],[Befvekst10]]&lt;=E$434,E$434,IF(Tabell2[[#This Row],[Befvekst10]]&gt;=E$435,E$435,Tabell2[[#This Row],[Befvekst10]]))</f>
        <v>7.6447795580689704E-3</v>
      </c>
      <c r="O369" s="34">
        <f>IF(Tabell2[[#This Row],[Kvinneandel]]&lt;=F$434,F$434,IF(Tabell2[[#This Row],[Kvinneandel]]&gt;=F$435,F$435,Tabell2[[#This Row],[Kvinneandel]]))</f>
        <v>0.10496778216586988</v>
      </c>
      <c r="P369" s="34">
        <f>IF(Tabell2[[#This Row],[Eldreandel]]&lt;=G$434,G$434,IF(Tabell2[[#This Row],[Eldreandel]]&gt;=G$435,G$435,Tabell2[[#This Row],[Eldreandel]]))</f>
        <v>0.17647058823529413</v>
      </c>
      <c r="Q369" s="34">
        <f>IF(Tabell2[[#This Row],[Sysselsettingsvekst10]]&lt;=H$434,H$434,IF(Tabell2[[#This Row],[Sysselsettingsvekst10]]&gt;=H$435,H$435,Tabell2[[#This Row],[Sysselsettingsvekst10]]))</f>
        <v>0.13657142857142857</v>
      </c>
      <c r="R369" s="34">
        <f>IF(Tabell2[[#This Row],[Yrkesaktivandel]]&lt;=I$434,I$434,IF(Tabell2[[#This Row],[Yrkesaktivandel]]&gt;=I$435,I$435,Tabell2[[#This Row],[Yrkesaktivandel]]))</f>
        <v>0.87497705158803007</v>
      </c>
      <c r="S369" s="22">
        <f>IF(Tabell2[[#This Row],[Inntekt]]&lt;=J$434,J$434,IF(Tabell2[[#This Row],[Inntekt]]&gt;=J$435,J$435,Tabell2[[#This Row],[Inntekt]]))</f>
        <v>366800</v>
      </c>
      <c r="T369" s="22">
        <f>IF(Tabell2[[#This Row],[NIBR11-T]]&lt;=K$437,100,IF(Tabell2[[#This Row],[NIBR11-T]]&gt;=K$436,0,100*(K$436-Tabell2[[#This Row],[NIBR11-T]])/K$439))</f>
        <v>60</v>
      </c>
      <c r="U369" s="7">
        <f>IF(Tabell2[[#This Row],[ReisetidOslo-T]]&lt;=L$437,100,IF(Tabell2[[#This Row],[ReisetidOslo-T]]&gt;=L$436,0,100*(L$436-Tabell2[[#This Row],[ReisetidOslo-T]])/L$439))</f>
        <v>21.626325411327954</v>
      </c>
      <c r="V369" s="7">
        <f>100-(M$436-Tabell2[[#This Row],[Beftettotal-T]])*100/M$439</f>
        <v>5.124949094100316</v>
      </c>
      <c r="W369" s="7">
        <f>100-(N$436-Tabell2[[#This Row],[Befvekst10-T]])*100/N$439</f>
        <v>33.757425553889504</v>
      </c>
      <c r="X369" s="7">
        <f>100-(O$436-Tabell2[[#This Row],[Kvinneandel-T]])*100/O$439</f>
        <v>38.256750157508094</v>
      </c>
      <c r="Y369" s="7">
        <f>(P$436-Tabell2[[#This Row],[Eldreandel-T]])*100/P$439</f>
        <v>41.544711328291839</v>
      </c>
      <c r="Z369" s="7">
        <f>100-(Q$436-Tabell2[[#This Row],[Sysselsettingsvekst10-T]])*100/Q$439</f>
        <v>61.384148937751412</v>
      </c>
      <c r="AA369" s="7">
        <f>100-(R$436-Tabell2[[#This Row],[Yrkesaktivandel-T]])*100/R$439</f>
        <v>33.063516344321968</v>
      </c>
      <c r="AB369" s="7">
        <f>100-(S$436-Tabell2[[#This Row],[Inntekt-T]])*100/S$439</f>
        <v>40.817274204782912</v>
      </c>
      <c r="AC369" s="55">
        <f>Tabell2[[#This Row],[NIBR11-I]]*Vekter!$B$3</f>
        <v>12</v>
      </c>
      <c r="AD369" s="55">
        <f>Tabell2[[#This Row],[ReisetidOslo-I]]*Vekter!$C$3</f>
        <v>2.1626325411327953</v>
      </c>
      <c r="AE369" s="55">
        <f>Tabell2[[#This Row],[Beftettotal-I]]*Vekter!$D$3</f>
        <v>0.51249490941003162</v>
      </c>
      <c r="AF369" s="55">
        <f>Tabell2[[#This Row],[Befvekst10-I]]*Vekter!$E$3</f>
        <v>6.7514851107779013</v>
      </c>
      <c r="AG369" s="55">
        <f>Tabell2[[#This Row],[Kvinneandel-I]]*Vekter!$F$3</f>
        <v>1.9128375078754047</v>
      </c>
      <c r="AH369" s="55">
        <f>Tabell2[[#This Row],[Eldreandel-I]]*Vekter!$G$3</f>
        <v>2.0772355664145921</v>
      </c>
      <c r="AI369" s="55">
        <f>Tabell2[[#This Row],[Sysselsettingsvekst10-I]]*Vekter!$H$3</f>
        <v>6.1384148937751419</v>
      </c>
      <c r="AJ369" s="55">
        <f>Tabell2[[#This Row],[Yrkesaktivandel-I]]*Vekter!$J$3</f>
        <v>3.3063516344321968</v>
      </c>
      <c r="AK369" s="55">
        <f>Tabell2[[#This Row],[Inntekt-I]]*Vekter!$L$3</f>
        <v>4.0817274204782912</v>
      </c>
      <c r="AL369" s="56">
        <f>SUM(Tabell2[[#This Row],[NIBR11-v]:[Inntekt-v]])</f>
        <v>38.94317958429636</v>
      </c>
    </row>
    <row r="370" spans="1:38" x14ac:dyDescent="0.25">
      <c r="A370" s="2" t="s">
        <v>367</v>
      </c>
      <c r="B370">
        <f>'Rådata-K'!M369</f>
        <v>6</v>
      </c>
      <c r="C370" s="7">
        <f>'Rådata-K'!L369</f>
        <v>244.36666666669998</v>
      </c>
      <c r="D370" s="34">
        <f>'Rådata-K'!N369</f>
        <v>1.1924678528251658</v>
      </c>
      <c r="E370" s="34">
        <f>'Rådata-K'!O369</f>
        <v>-9.289363678588014E-2</v>
      </c>
      <c r="F370" s="34">
        <f>'Rådata-K'!P369</f>
        <v>9.1653865847414237E-2</v>
      </c>
      <c r="G370" s="34">
        <f>'Rådata-K'!Q369</f>
        <v>0.21300563236047107</v>
      </c>
      <c r="H370" s="34">
        <f>'Rådata-K'!R369</f>
        <v>1.2150668286755817E-2</v>
      </c>
      <c r="I370" s="34">
        <f>'Rådata-K'!S369</f>
        <v>0.84306220095693785</v>
      </c>
      <c r="J370" s="22">
        <f>'Rådata-K'!K369</f>
        <v>345900</v>
      </c>
      <c r="K370" s="22">
        <f>Tabell2[[#This Row],[NIBR11]]</f>
        <v>6</v>
      </c>
      <c r="L370" s="32">
        <f>IF(Tabell2[[#This Row],[ReisetidOslo]]&lt;=C$434,C$434,IF(Tabell2[[#This Row],[ReisetidOslo]]&gt;=C$435,C$435,Tabell2[[#This Row],[ReisetidOslo]]))</f>
        <v>244.36666666669998</v>
      </c>
      <c r="M370" s="32">
        <f>IF(Tabell2[[#This Row],[Beftettotal]]&lt;=D$434,D$434,IF(Tabell2[[#This Row],[Beftettotal]]&gt;=D$435,D$435,Tabell2[[#This Row],[Beftettotal]]))</f>
        <v>1.3297721240876861</v>
      </c>
      <c r="N370" s="34">
        <f>IF(Tabell2[[#This Row],[Befvekst10]]&lt;=E$434,E$434,IF(Tabell2[[#This Row],[Befvekst10]]&gt;=E$435,E$435,Tabell2[[#This Row],[Befvekst10]]))</f>
        <v>-7.6196156394963507E-2</v>
      </c>
      <c r="O370" s="34">
        <f>IF(Tabell2[[#This Row],[Kvinneandel]]&lt;=F$434,F$434,IF(Tabell2[[#This Row],[Kvinneandel]]&gt;=F$435,F$435,Tabell2[[#This Row],[Kvinneandel]]))</f>
        <v>9.1653865847414237E-2</v>
      </c>
      <c r="P370" s="34">
        <f>IF(Tabell2[[#This Row],[Eldreandel]]&lt;=G$434,G$434,IF(Tabell2[[#This Row],[Eldreandel]]&gt;=G$435,G$435,Tabell2[[#This Row],[Eldreandel]]))</f>
        <v>0.21300563236047107</v>
      </c>
      <c r="Q370" s="34">
        <f>IF(Tabell2[[#This Row],[Sysselsettingsvekst10]]&lt;=H$434,H$434,IF(Tabell2[[#This Row],[Sysselsettingsvekst10]]&gt;=H$435,H$435,Tabell2[[#This Row],[Sysselsettingsvekst10]]))</f>
        <v>1.2150668286755817E-2</v>
      </c>
      <c r="R370" s="34">
        <f>IF(Tabell2[[#This Row],[Yrkesaktivandel]]&lt;=I$434,I$434,IF(Tabell2[[#This Row],[Yrkesaktivandel]]&gt;=I$435,I$435,Tabell2[[#This Row],[Yrkesaktivandel]]))</f>
        <v>0.84306220095693785</v>
      </c>
      <c r="S370" s="22">
        <f>IF(Tabell2[[#This Row],[Inntekt]]&lt;=J$434,J$434,IF(Tabell2[[#This Row],[Inntekt]]&gt;=J$435,J$435,Tabell2[[#This Row],[Inntekt]]))</f>
        <v>345900</v>
      </c>
      <c r="T370" s="22">
        <f>IF(Tabell2[[#This Row],[NIBR11-T]]&lt;=K$437,100,IF(Tabell2[[#This Row],[NIBR11-T]]&gt;=K$436,0,100*(K$436-Tabell2[[#This Row],[NIBR11-T]])/K$439))</f>
        <v>50</v>
      </c>
      <c r="U370" s="7">
        <f>IF(Tabell2[[#This Row],[ReisetidOslo-T]]&lt;=L$437,100,IF(Tabell2[[#This Row],[ReisetidOslo-T]]&gt;=L$436,0,100*(L$436-Tabell2[[#This Row],[ReisetidOslo-T]])/L$439))</f>
        <v>15.834734917727092</v>
      </c>
      <c r="V370" s="7">
        <f>100-(M$436-Tabell2[[#This Row],[Beftettotal-T]])*100/M$439</f>
        <v>0</v>
      </c>
      <c r="W370" s="7">
        <f>100-(N$436-Tabell2[[#This Row],[Befvekst10-T]])*100/N$439</f>
        <v>0</v>
      </c>
      <c r="X370" s="7">
        <f>100-(O$436-Tabell2[[#This Row],[Kvinneandel-T]])*100/O$439</f>
        <v>3.0749730021116051</v>
      </c>
      <c r="Y370" s="7">
        <f>(P$436-Tabell2[[#This Row],[Eldreandel-T]])*100/P$439</f>
        <v>1.5113659094801037</v>
      </c>
      <c r="Z370" s="7">
        <f>100-(Q$436-Tabell2[[#This Row],[Sysselsettingsvekst10-T]])*100/Q$439</f>
        <v>24.363883362476514</v>
      </c>
      <c r="AA370" s="7">
        <f>100-(R$436-Tabell2[[#This Row],[Yrkesaktivandel-T]])*100/R$439</f>
        <v>8.5244510324014442</v>
      </c>
      <c r="AB370" s="7">
        <f>100-(S$436-Tabell2[[#This Row],[Inntekt-T]])*100/S$439</f>
        <v>16.554446250290226</v>
      </c>
      <c r="AC370" s="55">
        <f>Tabell2[[#This Row],[NIBR11-I]]*Vekter!$B$3</f>
        <v>10</v>
      </c>
      <c r="AD370" s="55">
        <f>Tabell2[[#This Row],[ReisetidOslo-I]]*Vekter!$C$3</f>
        <v>1.5834734917727094</v>
      </c>
      <c r="AE370" s="55">
        <f>Tabell2[[#This Row],[Beftettotal-I]]*Vekter!$D$3</f>
        <v>0</v>
      </c>
      <c r="AF370" s="55">
        <f>Tabell2[[#This Row],[Befvekst10-I]]*Vekter!$E$3</f>
        <v>0</v>
      </c>
      <c r="AG370" s="55">
        <f>Tabell2[[#This Row],[Kvinneandel-I]]*Vekter!$F$3</f>
        <v>0.15374865010558025</v>
      </c>
      <c r="AH370" s="55">
        <f>Tabell2[[#This Row],[Eldreandel-I]]*Vekter!$G$3</f>
        <v>7.556829547400519E-2</v>
      </c>
      <c r="AI370" s="55">
        <f>Tabell2[[#This Row],[Sysselsettingsvekst10-I]]*Vekter!$H$3</f>
        <v>2.4363883362476515</v>
      </c>
      <c r="AJ370" s="55">
        <f>Tabell2[[#This Row],[Yrkesaktivandel-I]]*Vekter!$J$3</f>
        <v>0.85244510324014444</v>
      </c>
      <c r="AK370" s="55">
        <f>Tabell2[[#This Row],[Inntekt-I]]*Vekter!$L$3</f>
        <v>1.6554446250290227</v>
      </c>
      <c r="AL370" s="56">
        <f>SUM(Tabell2[[#This Row],[NIBR11-v]:[Inntekt-v]])</f>
        <v>16.757068501869114</v>
      </c>
    </row>
    <row r="371" spans="1:38" x14ac:dyDescent="0.25">
      <c r="A371" s="2" t="s">
        <v>368</v>
      </c>
      <c r="B371">
        <f>'Rådata-K'!M370</f>
        <v>11</v>
      </c>
      <c r="C371" s="7">
        <f>'Rådata-K'!L370</f>
        <v>350.7</v>
      </c>
      <c r="D371" s="34">
        <f>'Rådata-K'!N370</f>
        <v>2.48444127323899</v>
      </c>
      <c r="E371" s="34">
        <f>'Rådata-K'!O370</f>
        <v>-0.10528194147037828</v>
      </c>
      <c r="F371" s="34">
        <f>'Rådata-K'!P370</f>
        <v>8.8153171120861587E-2</v>
      </c>
      <c r="G371" s="34">
        <f>'Rådata-K'!Q370</f>
        <v>0.21420023932987634</v>
      </c>
      <c r="H371" s="34">
        <f>'Rådata-K'!R370</f>
        <v>2.2922636103151817E-2</v>
      </c>
      <c r="I371" s="34">
        <f>'Rådata-K'!S370</f>
        <v>0.85537790697674421</v>
      </c>
      <c r="J371" s="22">
        <f>'Rådata-K'!K370</f>
        <v>346200</v>
      </c>
      <c r="K371" s="22">
        <f>Tabell2[[#This Row],[NIBR11]]</f>
        <v>11</v>
      </c>
      <c r="L371" s="32">
        <f>IF(Tabell2[[#This Row],[ReisetidOslo]]&lt;=C$434,C$434,IF(Tabell2[[#This Row],[ReisetidOslo]]&gt;=C$435,C$435,Tabell2[[#This Row],[ReisetidOslo]]))</f>
        <v>280.45666666669001</v>
      </c>
      <c r="M371" s="32">
        <f>IF(Tabell2[[#This Row],[Beftettotal]]&lt;=D$434,D$434,IF(Tabell2[[#This Row],[Beftettotal]]&gt;=D$435,D$435,Tabell2[[#This Row],[Beftettotal]]))</f>
        <v>2.48444127323899</v>
      </c>
      <c r="N371" s="34">
        <f>IF(Tabell2[[#This Row],[Befvekst10]]&lt;=E$434,E$434,IF(Tabell2[[#This Row],[Befvekst10]]&gt;=E$435,E$435,Tabell2[[#This Row],[Befvekst10]]))</f>
        <v>-7.6196156394963507E-2</v>
      </c>
      <c r="O371" s="34">
        <f>IF(Tabell2[[#This Row],[Kvinneandel]]&lt;=F$434,F$434,IF(Tabell2[[#This Row],[Kvinneandel]]&gt;=F$435,F$435,Tabell2[[#This Row],[Kvinneandel]]))</f>
        <v>9.0490197137593403E-2</v>
      </c>
      <c r="P371" s="34">
        <f>IF(Tabell2[[#This Row],[Eldreandel]]&lt;=G$434,G$434,IF(Tabell2[[#This Row],[Eldreandel]]&gt;=G$435,G$435,Tabell2[[#This Row],[Eldreandel]]))</f>
        <v>0.21420023932987634</v>
      </c>
      <c r="Q371" s="34">
        <f>IF(Tabell2[[#This Row],[Sysselsettingsvekst10]]&lt;=H$434,H$434,IF(Tabell2[[#This Row],[Sysselsettingsvekst10]]&gt;=H$435,H$435,Tabell2[[#This Row],[Sysselsettingsvekst10]]))</f>
        <v>2.2922636103151817E-2</v>
      </c>
      <c r="R371" s="34">
        <f>IF(Tabell2[[#This Row],[Yrkesaktivandel]]&lt;=I$434,I$434,IF(Tabell2[[#This Row],[Yrkesaktivandel]]&gt;=I$435,I$435,Tabell2[[#This Row],[Yrkesaktivandel]]))</f>
        <v>0.85537790697674421</v>
      </c>
      <c r="S371" s="22">
        <f>IF(Tabell2[[#This Row],[Inntekt]]&lt;=J$434,J$434,IF(Tabell2[[#This Row],[Inntekt]]&gt;=J$435,J$435,Tabell2[[#This Row],[Inntekt]]))</f>
        <v>346200</v>
      </c>
      <c r="T371" s="22">
        <f>IF(Tabell2[[#This Row],[NIBR11-T]]&lt;=K$437,100,IF(Tabell2[[#This Row],[NIBR11-T]]&gt;=K$436,0,100*(K$436-Tabell2[[#This Row],[NIBR11-T]])/K$439))</f>
        <v>0</v>
      </c>
      <c r="U371" s="7">
        <f>IF(Tabell2[[#This Row],[ReisetidOslo-T]]&lt;=L$437,100,IF(Tabell2[[#This Row],[ReisetidOslo-T]]&gt;=L$436,0,100*(L$436-Tabell2[[#This Row],[ReisetidOslo-T]])/L$439))</f>
        <v>0</v>
      </c>
      <c r="V371" s="7">
        <f>100-(M$436-Tabell2[[#This Row],[Beftettotal-T]])*100/M$439</f>
        <v>0.89321831394410367</v>
      </c>
      <c r="W371" s="7">
        <f>100-(N$436-Tabell2[[#This Row],[Befvekst10-T]])*100/N$439</f>
        <v>0</v>
      </c>
      <c r="X371" s="7">
        <f>100-(O$436-Tabell2[[#This Row],[Kvinneandel-T]])*100/O$439</f>
        <v>0</v>
      </c>
      <c r="Y371" s="7">
        <f>(P$436-Tabell2[[#This Row],[Eldreandel-T]])*100/P$439</f>
        <v>0.20237300715692283</v>
      </c>
      <c r="Z371" s="7">
        <f>100-(Q$436-Tabell2[[#This Row],[Sysselsettingsvekst10-T]])*100/Q$439</f>
        <v>27.568984411681555</v>
      </c>
      <c r="AA371" s="7">
        <f>100-(R$436-Tabell2[[#This Row],[Yrkesaktivandel-T]])*100/R$439</f>
        <v>17.993895770708164</v>
      </c>
      <c r="AB371" s="7">
        <f>100-(S$436-Tabell2[[#This Row],[Inntekt-T]])*100/S$439</f>
        <v>16.902716508010215</v>
      </c>
      <c r="AC371" s="55">
        <f>Tabell2[[#This Row],[NIBR11-I]]*Vekter!$B$3</f>
        <v>0</v>
      </c>
      <c r="AD371" s="55">
        <f>Tabell2[[#This Row],[ReisetidOslo-I]]*Vekter!$C$3</f>
        <v>0</v>
      </c>
      <c r="AE371" s="55">
        <f>Tabell2[[#This Row],[Beftettotal-I]]*Vekter!$D$3</f>
        <v>8.932183139441037E-2</v>
      </c>
      <c r="AF371" s="55">
        <f>Tabell2[[#This Row],[Befvekst10-I]]*Vekter!$E$3</f>
        <v>0</v>
      </c>
      <c r="AG371" s="55">
        <f>Tabell2[[#This Row],[Kvinneandel-I]]*Vekter!$F$3</f>
        <v>0</v>
      </c>
      <c r="AH371" s="55">
        <f>Tabell2[[#This Row],[Eldreandel-I]]*Vekter!$G$3</f>
        <v>1.0118650357846141E-2</v>
      </c>
      <c r="AI371" s="55">
        <f>Tabell2[[#This Row],[Sysselsettingsvekst10-I]]*Vekter!$H$3</f>
        <v>2.7568984411681559</v>
      </c>
      <c r="AJ371" s="55">
        <f>Tabell2[[#This Row],[Yrkesaktivandel-I]]*Vekter!$J$3</f>
        <v>1.7993895770708166</v>
      </c>
      <c r="AK371" s="55">
        <f>Tabell2[[#This Row],[Inntekt-I]]*Vekter!$L$3</f>
        <v>1.6902716508010216</v>
      </c>
      <c r="AL371" s="56">
        <f>SUM(Tabell2[[#This Row],[NIBR11-v]:[Inntekt-v]])</f>
        <v>6.3460001507922499</v>
      </c>
    </row>
    <row r="372" spans="1:38" x14ac:dyDescent="0.25">
      <c r="A372" s="2" t="s">
        <v>369</v>
      </c>
      <c r="B372">
        <f>'Rådata-K'!M371</f>
        <v>11</v>
      </c>
      <c r="C372" s="7">
        <f>'Rådata-K'!L371</f>
        <v>352.71666666700003</v>
      </c>
      <c r="D372" s="34">
        <f>'Rådata-K'!N371</f>
        <v>1.7521962924261776</v>
      </c>
      <c r="E372" s="34">
        <f>'Rådata-K'!O371</f>
        <v>-1.3616557734204782E-2</v>
      </c>
      <c r="F372" s="34">
        <f>'Rådata-K'!P371</f>
        <v>9.9944781888459414E-2</v>
      </c>
      <c r="G372" s="34">
        <f>'Rådata-K'!Q371</f>
        <v>0.20485919381557149</v>
      </c>
      <c r="H372" s="34">
        <f>'Rådata-K'!R371</f>
        <v>0.1497975708502024</v>
      </c>
      <c r="I372" s="34">
        <f>'Rådata-K'!S371</f>
        <v>0.89056224899598391</v>
      </c>
      <c r="J372" s="22">
        <f>'Rådata-K'!K371</f>
        <v>343100</v>
      </c>
      <c r="K372" s="22">
        <f>Tabell2[[#This Row],[NIBR11]]</f>
        <v>11</v>
      </c>
      <c r="L372" s="32">
        <f>IF(Tabell2[[#This Row],[ReisetidOslo]]&lt;=C$434,C$434,IF(Tabell2[[#This Row],[ReisetidOslo]]&gt;=C$435,C$435,Tabell2[[#This Row],[ReisetidOslo]]))</f>
        <v>280.45666666669001</v>
      </c>
      <c r="M372" s="32">
        <f>IF(Tabell2[[#This Row],[Beftettotal]]&lt;=D$434,D$434,IF(Tabell2[[#This Row],[Beftettotal]]&gt;=D$435,D$435,Tabell2[[#This Row],[Beftettotal]]))</f>
        <v>1.7521962924261776</v>
      </c>
      <c r="N372" s="34">
        <f>IF(Tabell2[[#This Row],[Befvekst10]]&lt;=E$434,E$434,IF(Tabell2[[#This Row],[Befvekst10]]&gt;=E$435,E$435,Tabell2[[#This Row],[Befvekst10]]))</f>
        <v>-1.3616557734204782E-2</v>
      </c>
      <c r="O372" s="34">
        <f>IF(Tabell2[[#This Row],[Kvinneandel]]&lt;=F$434,F$434,IF(Tabell2[[#This Row],[Kvinneandel]]&gt;=F$435,F$435,Tabell2[[#This Row],[Kvinneandel]]))</f>
        <v>9.9944781888459414E-2</v>
      </c>
      <c r="P372" s="34">
        <f>IF(Tabell2[[#This Row],[Eldreandel]]&lt;=G$434,G$434,IF(Tabell2[[#This Row],[Eldreandel]]&gt;=G$435,G$435,Tabell2[[#This Row],[Eldreandel]]))</f>
        <v>0.20485919381557149</v>
      </c>
      <c r="Q372" s="34">
        <f>IF(Tabell2[[#This Row],[Sysselsettingsvekst10]]&lt;=H$434,H$434,IF(Tabell2[[#This Row],[Sysselsettingsvekst10]]&gt;=H$435,H$435,Tabell2[[#This Row],[Sysselsettingsvekst10]]))</f>
        <v>0.1497975708502024</v>
      </c>
      <c r="R372" s="34">
        <f>IF(Tabell2[[#This Row],[Yrkesaktivandel]]&lt;=I$434,I$434,IF(Tabell2[[#This Row],[Yrkesaktivandel]]&gt;=I$435,I$435,Tabell2[[#This Row],[Yrkesaktivandel]]))</f>
        <v>0.89056224899598391</v>
      </c>
      <c r="S372" s="22">
        <f>IF(Tabell2[[#This Row],[Inntekt]]&lt;=J$434,J$434,IF(Tabell2[[#This Row],[Inntekt]]&gt;=J$435,J$435,Tabell2[[#This Row],[Inntekt]]))</f>
        <v>343100</v>
      </c>
      <c r="T372" s="22">
        <f>IF(Tabell2[[#This Row],[NIBR11-T]]&lt;=K$437,100,IF(Tabell2[[#This Row],[NIBR11-T]]&gt;=K$436,0,100*(K$436-Tabell2[[#This Row],[NIBR11-T]])/K$439))</f>
        <v>0</v>
      </c>
      <c r="U372" s="7">
        <f>IF(Tabell2[[#This Row],[ReisetidOslo-T]]&lt;=L$437,100,IF(Tabell2[[#This Row],[ReisetidOslo-T]]&gt;=L$436,0,100*(L$436-Tabell2[[#This Row],[ReisetidOslo-T]])/L$439))</f>
        <v>0</v>
      </c>
      <c r="V372" s="7">
        <f>100-(M$436-Tabell2[[#This Row],[Beftettotal-T]])*100/M$439</f>
        <v>0.32677499324364589</v>
      </c>
      <c r="W372" s="7">
        <f>100-(N$436-Tabell2[[#This Row],[Befvekst10-T]])*100/N$439</f>
        <v>25.196833968626976</v>
      </c>
      <c r="X372" s="7">
        <f>100-(O$436-Tabell2[[#This Row],[Kvinneandel-T]])*100/O$439</f>
        <v>24.983565004137049</v>
      </c>
      <c r="Y372" s="7">
        <f>(P$436-Tabell2[[#This Row],[Eldreandel-T]])*100/P$439</f>
        <v>10.437841735913974</v>
      </c>
      <c r="Z372" s="7">
        <f>100-(Q$436-Tabell2[[#This Row],[Sysselsettingsvekst10-T]])*100/Q$439</f>
        <v>65.319467276719138</v>
      </c>
      <c r="AA372" s="7">
        <f>100-(R$436-Tabell2[[#This Row],[Yrkesaktivandel-T]])*100/R$439</f>
        <v>45.046846033490723</v>
      </c>
      <c r="AB372" s="7">
        <f>100-(S$436-Tabell2[[#This Row],[Inntekt-T]])*100/S$439</f>
        <v>13.30392384490365</v>
      </c>
      <c r="AC372" s="55">
        <f>Tabell2[[#This Row],[NIBR11-I]]*Vekter!$B$3</f>
        <v>0</v>
      </c>
      <c r="AD372" s="55">
        <f>Tabell2[[#This Row],[ReisetidOslo-I]]*Vekter!$C$3</f>
        <v>0</v>
      </c>
      <c r="AE372" s="55">
        <f>Tabell2[[#This Row],[Beftettotal-I]]*Vekter!$D$3</f>
        <v>3.2677499324364589E-2</v>
      </c>
      <c r="AF372" s="55">
        <f>Tabell2[[#This Row],[Befvekst10-I]]*Vekter!$E$3</f>
        <v>5.0393667937253959</v>
      </c>
      <c r="AG372" s="55">
        <f>Tabell2[[#This Row],[Kvinneandel-I]]*Vekter!$F$3</f>
        <v>1.2491782502068525</v>
      </c>
      <c r="AH372" s="55">
        <f>Tabell2[[#This Row],[Eldreandel-I]]*Vekter!$G$3</f>
        <v>0.52189208679569876</v>
      </c>
      <c r="AI372" s="55">
        <f>Tabell2[[#This Row],[Sysselsettingsvekst10-I]]*Vekter!$H$3</f>
        <v>6.5319467276719143</v>
      </c>
      <c r="AJ372" s="55">
        <f>Tabell2[[#This Row],[Yrkesaktivandel-I]]*Vekter!$J$3</f>
        <v>4.5046846033490722</v>
      </c>
      <c r="AK372" s="55">
        <f>Tabell2[[#This Row],[Inntekt-I]]*Vekter!$L$3</f>
        <v>1.3303923844903651</v>
      </c>
      <c r="AL372" s="56">
        <f>SUM(Tabell2[[#This Row],[NIBR11-v]:[Inntekt-v]])</f>
        <v>19.210138345563664</v>
      </c>
    </row>
    <row r="373" spans="1:38" x14ac:dyDescent="0.25">
      <c r="A373" s="2" t="s">
        <v>370</v>
      </c>
      <c r="B373">
        <f>'Rådata-K'!M372</f>
        <v>11</v>
      </c>
      <c r="C373" s="7">
        <f>'Rådata-K'!L372</f>
        <v>328.48333333329998</v>
      </c>
      <c r="D373" s="34">
        <f>'Rådata-K'!N372</f>
        <v>1.3636581016731455</v>
      </c>
      <c r="E373" s="34">
        <f>'Rådata-K'!O372</f>
        <v>-7.1627906976744149E-2</v>
      </c>
      <c r="F373" s="34">
        <f>'Rådata-K'!P372</f>
        <v>9.5190380761523044E-2</v>
      </c>
      <c r="G373" s="34">
        <f>'Rådata-K'!Q372</f>
        <v>0.2029058116232465</v>
      </c>
      <c r="H373" s="34">
        <f>'Rådata-K'!R372</f>
        <v>5.4658385093167672E-2</v>
      </c>
      <c r="I373" s="34">
        <f>'Rådata-K'!S372</f>
        <v>0.81687612208258531</v>
      </c>
      <c r="J373" s="22">
        <f>'Rådata-K'!K372</f>
        <v>331200</v>
      </c>
      <c r="K373" s="22">
        <f>Tabell2[[#This Row],[NIBR11]]</f>
        <v>11</v>
      </c>
      <c r="L373" s="32">
        <f>IF(Tabell2[[#This Row],[ReisetidOslo]]&lt;=C$434,C$434,IF(Tabell2[[#This Row],[ReisetidOslo]]&gt;=C$435,C$435,Tabell2[[#This Row],[ReisetidOslo]]))</f>
        <v>280.45666666669001</v>
      </c>
      <c r="M373" s="32">
        <f>IF(Tabell2[[#This Row],[Beftettotal]]&lt;=D$434,D$434,IF(Tabell2[[#This Row],[Beftettotal]]&gt;=D$435,D$435,Tabell2[[#This Row],[Beftettotal]]))</f>
        <v>1.3636581016731455</v>
      </c>
      <c r="N373" s="34">
        <f>IF(Tabell2[[#This Row],[Befvekst10]]&lt;=E$434,E$434,IF(Tabell2[[#This Row],[Befvekst10]]&gt;=E$435,E$435,Tabell2[[#This Row],[Befvekst10]]))</f>
        <v>-7.1627906976744149E-2</v>
      </c>
      <c r="O373" s="34">
        <f>IF(Tabell2[[#This Row],[Kvinneandel]]&lt;=F$434,F$434,IF(Tabell2[[#This Row],[Kvinneandel]]&gt;=F$435,F$435,Tabell2[[#This Row],[Kvinneandel]]))</f>
        <v>9.5190380761523044E-2</v>
      </c>
      <c r="P373" s="34">
        <f>IF(Tabell2[[#This Row],[Eldreandel]]&lt;=G$434,G$434,IF(Tabell2[[#This Row],[Eldreandel]]&gt;=G$435,G$435,Tabell2[[#This Row],[Eldreandel]]))</f>
        <v>0.2029058116232465</v>
      </c>
      <c r="Q373" s="34">
        <f>IF(Tabell2[[#This Row],[Sysselsettingsvekst10]]&lt;=H$434,H$434,IF(Tabell2[[#This Row],[Sysselsettingsvekst10]]&gt;=H$435,H$435,Tabell2[[#This Row],[Sysselsettingsvekst10]]))</f>
        <v>5.4658385093167672E-2</v>
      </c>
      <c r="R373" s="34">
        <f>IF(Tabell2[[#This Row],[Yrkesaktivandel]]&lt;=I$434,I$434,IF(Tabell2[[#This Row],[Yrkesaktivandel]]&gt;=I$435,I$435,Tabell2[[#This Row],[Yrkesaktivandel]]))</f>
        <v>0.83197552842263423</v>
      </c>
      <c r="S373" s="22">
        <f>IF(Tabell2[[#This Row],[Inntekt]]&lt;=J$434,J$434,IF(Tabell2[[#This Row],[Inntekt]]&gt;=J$435,J$435,Tabell2[[#This Row],[Inntekt]]))</f>
        <v>331640</v>
      </c>
      <c r="T373" s="22">
        <f>IF(Tabell2[[#This Row],[NIBR11-T]]&lt;=K$437,100,IF(Tabell2[[#This Row],[NIBR11-T]]&gt;=K$436,0,100*(K$436-Tabell2[[#This Row],[NIBR11-T]])/K$439))</f>
        <v>0</v>
      </c>
      <c r="U373" s="7">
        <f>IF(Tabell2[[#This Row],[ReisetidOslo-T]]&lt;=L$437,100,IF(Tabell2[[#This Row],[ReisetidOslo-T]]&gt;=L$436,0,100*(L$436-Tabell2[[#This Row],[ReisetidOslo-T]])/L$439))</f>
        <v>0</v>
      </c>
      <c r="V373" s="7">
        <f>100-(M$436-Tabell2[[#This Row],[Beftettotal-T]])*100/M$439</f>
        <v>2.6213202099896193E-2</v>
      </c>
      <c r="W373" s="7">
        <f>100-(N$436-Tabell2[[#This Row],[Befvekst10-T]])*100/N$439</f>
        <v>1.8393442045247355</v>
      </c>
      <c r="X373" s="7">
        <f>100-(O$436-Tabell2[[#This Row],[Kvinneandel-T]])*100/O$439</f>
        <v>12.42014812856489</v>
      </c>
      <c r="Y373" s="7">
        <f>(P$436-Tabell2[[#This Row],[Eldreandel-T]])*100/P$439</f>
        <v>12.578264059543052</v>
      </c>
      <c r="Z373" s="7">
        <f>100-(Q$436-Tabell2[[#This Row],[Sysselsettingsvekst10-T]])*100/Q$439</f>
        <v>37.011667876664198</v>
      </c>
      <c r="AA373" s="7">
        <f>100-(R$436-Tabell2[[#This Row],[Yrkesaktivandel-T]])*100/R$439</f>
        <v>0</v>
      </c>
      <c r="AB373" s="7">
        <f>100-(S$436-Tabell2[[#This Row],[Inntekt-T]])*100/S$439</f>
        <v>0</v>
      </c>
      <c r="AC373" s="55">
        <f>Tabell2[[#This Row],[NIBR11-I]]*Vekter!$B$3</f>
        <v>0</v>
      </c>
      <c r="AD373" s="55">
        <f>Tabell2[[#This Row],[ReisetidOslo-I]]*Vekter!$C$3</f>
        <v>0</v>
      </c>
      <c r="AE373" s="55">
        <f>Tabell2[[#This Row],[Beftettotal-I]]*Vekter!$D$3</f>
        <v>2.6213202099896193E-3</v>
      </c>
      <c r="AF373" s="55">
        <f>Tabell2[[#This Row],[Befvekst10-I]]*Vekter!$E$3</f>
        <v>0.36786884090494709</v>
      </c>
      <c r="AG373" s="55">
        <f>Tabell2[[#This Row],[Kvinneandel-I]]*Vekter!$F$3</f>
        <v>0.62100740642824448</v>
      </c>
      <c r="AH373" s="55">
        <f>Tabell2[[#This Row],[Eldreandel-I]]*Vekter!$G$3</f>
        <v>0.6289132029771527</v>
      </c>
      <c r="AI373" s="55">
        <f>Tabell2[[#This Row],[Sysselsettingsvekst10-I]]*Vekter!$H$3</f>
        <v>3.7011667876664198</v>
      </c>
      <c r="AJ373" s="55">
        <f>Tabell2[[#This Row],[Yrkesaktivandel-I]]*Vekter!$J$3</f>
        <v>0</v>
      </c>
      <c r="AK373" s="55">
        <f>Tabell2[[#This Row],[Inntekt-I]]*Vekter!$L$3</f>
        <v>0</v>
      </c>
      <c r="AL373" s="56">
        <f>SUM(Tabell2[[#This Row],[NIBR11-v]:[Inntekt-v]])</f>
        <v>5.3215775581867533</v>
      </c>
    </row>
    <row r="374" spans="1:38" x14ac:dyDescent="0.25">
      <c r="A374" s="2" t="s">
        <v>371</v>
      </c>
      <c r="B374">
        <f>'Rådata-K'!M373</f>
        <v>11</v>
      </c>
      <c r="C374" s="7">
        <f>'Rådata-K'!L373</f>
        <v>257.01666666669996</v>
      </c>
      <c r="D374" s="34">
        <f>'Rådata-K'!N373</f>
        <v>4.094864357618154</v>
      </c>
      <c r="E374" s="34">
        <f>'Rådata-K'!O373</f>
        <v>-8.0459770114942541E-2</v>
      </c>
      <c r="F374" s="34">
        <f>'Rådata-K'!P373</f>
        <v>8.1944444444444445E-2</v>
      </c>
      <c r="G374" s="34">
        <f>'Rådata-K'!Q373</f>
        <v>0.22453703703703703</v>
      </c>
      <c r="H374" s="34">
        <f>'Rådata-K'!R373</f>
        <v>-2.2988505747126409E-2</v>
      </c>
      <c r="I374" s="34">
        <f>'Rådata-K'!S373</f>
        <v>0.84210526315789469</v>
      </c>
      <c r="J374" s="22">
        <f>'Rådata-K'!K373</f>
        <v>331100</v>
      </c>
      <c r="K374" s="22">
        <f>Tabell2[[#This Row],[NIBR11]]</f>
        <v>11</v>
      </c>
      <c r="L374" s="32">
        <f>IF(Tabell2[[#This Row],[ReisetidOslo]]&lt;=C$434,C$434,IF(Tabell2[[#This Row],[ReisetidOslo]]&gt;=C$435,C$435,Tabell2[[#This Row],[ReisetidOslo]]))</f>
        <v>257.01666666669996</v>
      </c>
      <c r="M374" s="32">
        <f>IF(Tabell2[[#This Row],[Beftettotal]]&lt;=D$434,D$434,IF(Tabell2[[#This Row],[Beftettotal]]&gt;=D$435,D$435,Tabell2[[#This Row],[Beftettotal]]))</f>
        <v>4.094864357618154</v>
      </c>
      <c r="N374" s="34">
        <f>IF(Tabell2[[#This Row],[Befvekst10]]&lt;=E$434,E$434,IF(Tabell2[[#This Row],[Befvekst10]]&gt;=E$435,E$435,Tabell2[[#This Row],[Befvekst10]]))</f>
        <v>-7.6196156394963507E-2</v>
      </c>
      <c r="O374" s="34">
        <f>IF(Tabell2[[#This Row],[Kvinneandel]]&lt;=F$434,F$434,IF(Tabell2[[#This Row],[Kvinneandel]]&gt;=F$435,F$435,Tabell2[[#This Row],[Kvinneandel]]))</f>
        <v>9.0490197137593403E-2</v>
      </c>
      <c r="P374" s="34">
        <f>IF(Tabell2[[#This Row],[Eldreandel]]&lt;=G$434,G$434,IF(Tabell2[[#This Row],[Eldreandel]]&gt;=G$435,G$435,Tabell2[[#This Row],[Eldreandel]]))</f>
        <v>0.21438492803547596</v>
      </c>
      <c r="Q374" s="34">
        <f>IF(Tabell2[[#This Row],[Sysselsettingsvekst10]]&lt;=H$434,H$434,IF(Tabell2[[#This Row],[Sysselsettingsvekst10]]&gt;=H$435,H$435,Tabell2[[#This Row],[Sysselsettingsvekst10]]))</f>
        <v>-2.2988505747126409E-2</v>
      </c>
      <c r="R374" s="34">
        <f>IF(Tabell2[[#This Row],[Yrkesaktivandel]]&lt;=I$434,I$434,IF(Tabell2[[#This Row],[Yrkesaktivandel]]&gt;=I$435,I$435,Tabell2[[#This Row],[Yrkesaktivandel]]))</f>
        <v>0.84210526315789469</v>
      </c>
      <c r="S374" s="22">
        <f>IF(Tabell2[[#This Row],[Inntekt]]&lt;=J$434,J$434,IF(Tabell2[[#This Row],[Inntekt]]&gt;=J$435,J$435,Tabell2[[#This Row],[Inntekt]]))</f>
        <v>331640</v>
      </c>
      <c r="T374" s="22">
        <f>IF(Tabell2[[#This Row],[NIBR11-T]]&lt;=K$437,100,IF(Tabell2[[#This Row],[NIBR11-T]]&gt;=K$436,0,100*(K$436-Tabell2[[#This Row],[NIBR11-T]])/K$439))</f>
        <v>0</v>
      </c>
      <c r="U374" s="7">
        <f>IF(Tabell2[[#This Row],[ReisetidOslo-T]]&lt;=L$437,100,IF(Tabell2[[#This Row],[ReisetidOslo-T]]&gt;=L$436,0,100*(L$436-Tabell2[[#This Row],[ReisetidOslo-T]])/L$439))</f>
        <v>10.284460694692935</v>
      </c>
      <c r="V374" s="7">
        <f>100-(M$436-Tabell2[[#This Row],[Beftettotal-T]])*100/M$439</f>
        <v>2.1389945548899476</v>
      </c>
      <c r="W374" s="7">
        <f>100-(N$436-Tabell2[[#This Row],[Befvekst10-T]])*100/N$439</f>
        <v>0</v>
      </c>
      <c r="X374" s="7">
        <f>100-(O$436-Tabell2[[#This Row],[Kvinneandel-T]])*100/O$439</f>
        <v>0</v>
      </c>
      <c r="Y374" s="7">
        <f>(P$436-Tabell2[[#This Row],[Eldreandel-T]])*100/P$439</f>
        <v>0</v>
      </c>
      <c r="Z374" s="7">
        <f>100-(Q$436-Tabell2[[#This Row],[Sysselsettingsvekst10-T]])*100/Q$439</f>
        <v>13.908541730953189</v>
      </c>
      <c r="AA374" s="7">
        <f>100-(R$436-Tabell2[[#This Row],[Yrkesaktivandel-T]])*100/R$439</f>
        <v>7.788669454677617</v>
      </c>
      <c r="AB374" s="7">
        <f>100-(S$436-Tabell2[[#This Row],[Inntekt-T]])*100/S$439</f>
        <v>0</v>
      </c>
      <c r="AC374" s="55">
        <f>Tabell2[[#This Row],[NIBR11-I]]*Vekter!$B$3</f>
        <v>0</v>
      </c>
      <c r="AD374" s="55">
        <f>Tabell2[[#This Row],[ReisetidOslo-I]]*Vekter!$C$3</f>
        <v>1.0284460694692936</v>
      </c>
      <c r="AE374" s="55">
        <f>Tabell2[[#This Row],[Beftettotal-I]]*Vekter!$D$3</f>
        <v>0.21389945548899478</v>
      </c>
      <c r="AF374" s="55">
        <f>Tabell2[[#This Row],[Befvekst10-I]]*Vekter!$E$3</f>
        <v>0</v>
      </c>
      <c r="AG374" s="55">
        <f>Tabell2[[#This Row],[Kvinneandel-I]]*Vekter!$F$3</f>
        <v>0</v>
      </c>
      <c r="AH374" s="55">
        <f>Tabell2[[#This Row],[Eldreandel-I]]*Vekter!$G$3</f>
        <v>0</v>
      </c>
      <c r="AI374" s="55">
        <f>Tabell2[[#This Row],[Sysselsettingsvekst10-I]]*Vekter!$H$3</f>
        <v>1.390854173095319</v>
      </c>
      <c r="AJ374" s="55">
        <f>Tabell2[[#This Row],[Yrkesaktivandel-I]]*Vekter!$J$3</f>
        <v>0.7788669454677617</v>
      </c>
      <c r="AK374" s="55">
        <f>Tabell2[[#This Row],[Inntekt-I]]*Vekter!$L$3</f>
        <v>0</v>
      </c>
      <c r="AL374" s="56">
        <f>SUM(Tabell2[[#This Row],[NIBR11-v]:[Inntekt-v]])</f>
        <v>3.4120666435213689</v>
      </c>
    </row>
    <row r="375" spans="1:38" x14ac:dyDescent="0.25">
      <c r="A375" s="2" t="s">
        <v>372</v>
      </c>
      <c r="B375">
        <f>'Rådata-K'!M374</f>
        <v>5</v>
      </c>
      <c r="C375" s="7">
        <f>'Rådata-K'!L374</f>
        <v>223.5833333333</v>
      </c>
      <c r="D375" s="34">
        <f>'Rådata-K'!N374</f>
        <v>4.0092714402054748</v>
      </c>
      <c r="E375" s="34">
        <f>'Rådata-K'!O374</f>
        <v>-9.9225897255453943E-2</v>
      </c>
      <c r="F375" s="34">
        <f>'Rådata-K'!P374</f>
        <v>8.5156250000000003E-2</v>
      </c>
      <c r="G375" s="34">
        <f>'Rådata-K'!Q374</f>
        <v>0.23906250000000001</v>
      </c>
      <c r="H375" s="34">
        <f>'Rådata-K'!R374</f>
        <v>3.4136546184738936E-2</v>
      </c>
      <c r="I375" s="34">
        <f>'Rådata-K'!S374</f>
        <v>0.87706146926536732</v>
      </c>
      <c r="J375" s="22">
        <f>'Rådata-K'!K374</f>
        <v>343200</v>
      </c>
      <c r="K375" s="22">
        <f>Tabell2[[#This Row],[NIBR11]]</f>
        <v>5</v>
      </c>
      <c r="L375" s="32">
        <f>IF(Tabell2[[#This Row],[ReisetidOslo]]&lt;=C$434,C$434,IF(Tabell2[[#This Row],[ReisetidOslo]]&gt;=C$435,C$435,Tabell2[[#This Row],[ReisetidOslo]]))</f>
        <v>223.5833333333</v>
      </c>
      <c r="M375" s="32">
        <f>IF(Tabell2[[#This Row],[Beftettotal]]&lt;=D$434,D$434,IF(Tabell2[[#This Row],[Beftettotal]]&gt;=D$435,D$435,Tabell2[[#This Row],[Beftettotal]]))</f>
        <v>4.0092714402054748</v>
      </c>
      <c r="N375" s="34">
        <f>IF(Tabell2[[#This Row],[Befvekst10]]&lt;=E$434,E$434,IF(Tabell2[[#This Row],[Befvekst10]]&gt;=E$435,E$435,Tabell2[[#This Row],[Befvekst10]]))</f>
        <v>-7.6196156394963507E-2</v>
      </c>
      <c r="O375" s="34">
        <f>IF(Tabell2[[#This Row],[Kvinneandel]]&lt;=F$434,F$434,IF(Tabell2[[#This Row],[Kvinneandel]]&gt;=F$435,F$435,Tabell2[[#This Row],[Kvinneandel]]))</f>
        <v>9.0490197137593403E-2</v>
      </c>
      <c r="P375" s="34">
        <f>IF(Tabell2[[#This Row],[Eldreandel]]&lt;=G$434,G$434,IF(Tabell2[[#This Row],[Eldreandel]]&gt;=G$435,G$435,Tabell2[[#This Row],[Eldreandel]]))</f>
        <v>0.21438492803547596</v>
      </c>
      <c r="Q375" s="34">
        <f>IF(Tabell2[[#This Row],[Sysselsettingsvekst10]]&lt;=H$434,H$434,IF(Tabell2[[#This Row],[Sysselsettingsvekst10]]&gt;=H$435,H$435,Tabell2[[#This Row],[Sysselsettingsvekst10]]))</f>
        <v>3.4136546184738936E-2</v>
      </c>
      <c r="R375" s="34">
        <f>IF(Tabell2[[#This Row],[Yrkesaktivandel]]&lt;=I$434,I$434,IF(Tabell2[[#This Row],[Yrkesaktivandel]]&gt;=I$435,I$435,Tabell2[[#This Row],[Yrkesaktivandel]]))</f>
        <v>0.87706146926536732</v>
      </c>
      <c r="S375" s="22">
        <f>IF(Tabell2[[#This Row],[Inntekt]]&lt;=J$434,J$434,IF(Tabell2[[#This Row],[Inntekt]]&gt;=J$435,J$435,Tabell2[[#This Row],[Inntekt]]))</f>
        <v>343200</v>
      </c>
      <c r="T375" s="22">
        <f>IF(Tabell2[[#This Row],[NIBR11-T]]&lt;=K$437,100,IF(Tabell2[[#This Row],[NIBR11-T]]&gt;=K$436,0,100*(K$436-Tabell2[[#This Row],[NIBR11-T]])/K$439))</f>
        <v>60</v>
      </c>
      <c r="U375" s="7">
        <f>IF(Tabell2[[#This Row],[ReisetidOslo-T]]&lt;=L$437,100,IF(Tabell2[[#This Row],[ReisetidOslo-T]]&gt;=L$436,0,100*(L$436-Tabell2[[#This Row],[ReisetidOslo-T]])/L$439))</f>
        <v>24.953564899473864</v>
      </c>
      <c r="V375" s="7">
        <f>100-(M$436-Tabell2[[#This Row],[Beftettotal-T]])*100/M$439</f>
        <v>2.0727823750347056</v>
      </c>
      <c r="W375" s="7">
        <f>100-(N$436-Tabell2[[#This Row],[Befvekst10-T]])*100/N$439</f>
        <v>0</v>
      </c>
      <c r="X375" s="7">
        <f>100-(O$436-Tabell2[[#This Row],[Kvinneandel-T]])*100/O$439</f>
        <v>0</v>
      </c>
      <c r="Y375" s="7">
        <f>(P$436-Tabell2[[#This Row],[Eldreandel-T]])*100/P$439</f>
        <v>0</v>
      </c>
      <c r="Z375" s="7">
        <f>100-(Q$436-Tabell2[[#This Row],[Sysselsettingsvekst10-T]])*100/Q$439</f>
        <v>30.905581362285048</v>
      </c>
      <c r="AA375" s="7">
        <f>100-(R$436-Tabell2[[#This Row],[Yrkesaktivandel-T]])*100/R$439</f>
        <v>34.666207897315459</v>
      </c>
      <c r="AB375" s="7">
        <f>100-(S$436-Tabell2[[#This Row],[Inntekt-T]])*100/S$439</f>
        <v>13.420013930810313</v>
      </c>
      <c r="AC375" s="55">
        <f>Tabell2[[#This Row],[NIBR11-I]]*Vekter!$B$3</f>
        <v>12</v>
      </c>
      <c r="AD375" s="55">
        <f>Tabell2[[#This Row],[ReisetidOslo-I]]*Vekter!$C$3</f>
        <v>2.4953564899473868</v>
      </c>
      <c r="AE375" s="55">
        <f>Tabell2[[#This Row],[Beftettotal-I]]*Vekter!$D$3</f>
        <v>0.20727823750347057</v>
      </c>
      <c r="AF375" s="55">
        <f>Tabell2[[#This Row],[Befvekst10-I]]*Vekter!$E$3</f>
        <v>0</v>
      </c>
      <c r="AG375" s="55">
        <f>Tabell2[[#This Row],[Kvinneandel-I]]*Vekter!$F$3</f>
        <v>0</v>
      </c>
      <c r="AH375" s="55">
        <f>Tabell2[[#This Row],[Eldreandel-I]]*Vekter!$G$3</f>
        <v>0</v>
      </c>
      <c r="AI375" s="55">
        <f>Tabell2[[#This Row],[Sysselsettingsvekst10-I]]*Vekter!$H$3</f>
        <v>3.0905581362285051</v>
      </c>
      <c r="AJ375" s="55">
        <f>Tabell2[[#This Row],[Yrkesaktivandel-I]]*Vekter!$J$3</f>
        <v>3.4666207897315462</v>
      </c>
      <c r="AK375" s="55">
        <f>Tabell2[[#This Row],[Inntekt-I]]*Vekter!$L$3</f>
        <v>1.3420013930810315</v>
      </c>
      <c r="AL375" s="56">
        <f>SUM(Tabell2[[#This Row],[NIBR11-v]:[Inntekt-v]])</f>
        <v>22.601815046491939</v>
      </c>
    </row>
    <row r="376" spans="1:38" x14ac:dyDescent="0.25">
      <c r="A376" s="2" t="s">
        <v>373</v>
      </c>
      <c r="B376">
        <f>'Rådata-K'!M375</f>
        <v>5</v>
      </c>
      <c r="C376" s="7">
        <f>'Rådata-K'!L375</f>
        <v>210.9</v>
      </c>
      <c r="D376" s="34">
        <f>'Rådata-K'!N375</f>
        <v>5.4790727114486906</v>
      </c>
      <c r="E376" s="34">
        <f>'Rådata-K'!O375</f>
        <v>-2.2582921665490474E-2</v>
      </c>
      <c r="F376" s="34">
        <f>'Rådata-K'!P375</f>
        <v>9.1696750902527074E-2</v>
      </c>
      <c r="G376" s="34">
        <f>'Rådata-K'!Q375</f>
        <v>0.21516245487364621</v>
      </c>
      <c r="H376" s="34">
        <f>'Rådata-K'!R375</f>
        <v>6.2402496099844829E-3</v>
      </c>
      <c r="I376" s="34">
        <f>'Rådata-K'!S375</f>
        <v>0.83356258596973865</v>
      </c>
      <c r="J376" s="22">
        <f>'Rådata-K'!K375</f>
        <v>336700</v>
      </c>
      <c r="K376" s="22">
        <f>Tabell2[[#This Row],[NIBR11]]</f>
        <v>5</v>
      </c>
      <c r="L376" s="32">
        <f>IF(Tabell2[[#This Row],[ReisetidOslo]]&lt;=C$434,C$434,IF(Tabell2[[#This Row],[ReisetidOslo]]&gt;=C$435,C$435,Tabell2[[#This Row],[ReisetidOslo]]))</f>
        <v>210.9</v>
      </c>
      <c r="M376" s="32">
        <f>IF(Tabell2[[#This Row],[Beftettotal]]&lt;=D$434,D$434,IF(Tabell2[[#This Row],[Beftettotal]]&gt;=D$435,D$435,Tabell2[[#This Row],[Beftettotal]]))</f>
        <v>5.4790727114486906</v>
      </c>
      <c r="N376" s="34">
        <f>IF(Tabell2[[#This Row],[Befvekst10]]&lt;=E$434,E$434,IF(Tabell2[[#This Row],[Befvekst10]]&gt;=E$435,E$435,Tabell2[[#This Row],[Befvekst10]]))</f>
        <v>-2.2582921665490474E-2</v>
      </c>
      <c r="O376" s="34">
        <f>IF(Tabell2[[#This Row],[Kvinneandel]]&lt;=F$434,F$434,IF(Tabell2[[#This Row],[Kvinneandel]]&gt;=F$435,F$435,Tabell2[[#This Row],[Kvinneandel]]))</f>
        <v>9.1696750902527074E-2</v>
      </c>
      <c r="P376" s="34">
        <f>IF(Tabell2[[#This Row],[Eldreandel]]&lt;=G$434,G$434,IF(Tabell2[[#This Row],[Eldreandel]]&gt;=G$435,G$435,Tabell2[[#This Row],[Eldreandel]]))</f>
        <v>0.21438492803547596</v>
      </c>
      <c r="Q376" s="34">
        <f>IF(Tabell2[[#This Row],[Sysselsettingsvekst10]]&lt;=H$434,H$434,IF(Tabell2[[#This Row],[Sysselsettingsvekst10]]&gt;=H$435,H$435,Tabell2[[#This Row],[Sysselsettingsvekst10]]))</f>
        <v>6.2402496099844829E-3</v>
      </c>
      <c r="R376" s="34">
        <f>IF(Tabell2[[#This Row],[Yrkesaktivandel]]&lt;=I$434,I$434,IF(Tabell2[[#This Row],[Yrkesaktivandel]]&gt;=I$435,I$435,Tabell2[[#This Row],[Yrkesaktivandel]]))</f>
        <v>0.83356258596973865</v>
      </c>
      <c r="S376" s="22">
        <f>IF(Tabell2[[#This Row],[Inntekt]]&lt;=J$434,J$434,IF(Tabell2[[#This Row],[Inntekt]]&gt;=J$435,J$435,Tabell2[[#This Row],[Inntekt]]))</f>
        <v>336700</v>
      </c>
      <c r="T376" s="22">
        <f>IF(Tabell2[[#This Row],[NIBR11-T]]&lt;=K$437,100,IF(Tabell2[[#This Row],[NIBR11-T]]&gt;=K$436,0,100*(K$436-Tabell2[[#This Row],[NIBR11-T]])/K$439))</f>
        <v>60</v>
      </c>
      <c r="U376" s="7">
        <f>IF(Tabell2[[#This Row],[ReisetidOslo-T]]&lt;=L$437,100,IF(Tabell2[[#This Row],[ReisetidOslo-T]]&gt;=L$436,0,100*(L$436-Tabell2[[#This Row],[ReisetidOslo-T]])/L$439))</f>
        <v>30.518464351012597</v>
      </c>
      <c r="V376" s="7">
        <f>100-(M$436-Tabell2[[#This Row],[Beftettotal-T]])*100/M$439</f>
        <v>3.2097776903574982</v>
      </c>
      <c r="W376" s="7">
        <f>100-(N$436-Tabell2[[#This Row],[Befvekst10-T]])*100/N$439</f>
        <v>21.586648091539217</v>
      </c>
      <c r="X376" s="7">
        <f>100-(O$436-Tabell2[[#This Row],[Kvinneandel-T]])*100/O$439</f>
        <v>3.1882959655574012</v>
      </c>
      <c r="Y376" s="7">
        <f>(P$436-Tabell2[[#This Row],[Eldreandel-T]])*100/P$439</f>
        <v>0</v>
      </c>
      <c r="Z376" s="7">
        <f>100-(Q$436-Tabell2[[#This Row],[Sysselsettingsvekst10-T]])*100/Q$439</f>
        <v>22.605292042390403</v>
      </c>
      <c r="AA376" s="7">
        <f>100-(R$436-Tabell2[[#This Row],[Yrkesaktivandel-T]])*100/R$439</f>
        <v>1.2202754527145032</v>
      </c>
      <c r="AB376" s="7">
        <f>100-(S$436-Tabell2[[#This Row],[Inntekt-T]])*100/S$439</f>
        <v>5.8741583468771807</v>
      </c>
      <c r="AC376" s="55">
        <f>Tabell2[[#This Row],[NIBR11-I]]*Vekter!$B$3</f>
        <v>12</v>
      </c>
      <c r="AD376" s="55">
        <f>Tabell2[[#This Row],[ReisetidOslo-I]]*Vekter!$C$3</f>
        <v>3.0518464351012597</v>
      </c>
      <c r="AE376" s="55">
        <f>Tabell2[[#This Row],[Beftettotal-I]]*Vekter!$D$3</f>
        <v>0.32097776903574982</v>
      </c>
      <c r="AF376" s="55">
        <f>Tabell2[[#This Row],[Befvekst10-I]]*Vekter!$E$3</f>
        <v>4.317329618307844</v>
      </c>
      <c r="AG376" s="55">
        <f>Tabell2[[#This Row],[Kvinneandel-I]]*Vekter!$F$3</f>
        <v>0.15941479827787008</v>
      </c>
      <c r="AH376" s="55">
        <f>Tabell2[[#This Row],[Eldreandel-I]]*Vekter!$G$3</f>
        <v>0</v>
      </c>
      <c r="AI376" s="55">
        <f>Tabell2[[#This Row],[Sysselsettingsvekst10-I]]*Vekter!$H$3</f>
        <v>2.2605292042390404</v>
      </c>
      <c r="AJ376" s="55">
        <f>Tabell2[[#This Row],[Yrkesaktivandel-I]]*Vekter!$J$3</f>
        <v>0.12202754527145032</v>
      </c>
      <c r="AK376" s="55">
        <f>Tabell2[[#This Row],[Inntekt-I]]*Vekter!$L$3</f>
        <v>0.58741583468771807</v>
      </c>
      <c r="AL376" s="56">
        <f>SUM(Tabell2[[#This Row],[NIBR11-v]:[Inntekt-v]])</f>
        <v>22.819541204920931</v>
      </c>
    </row>
    <row r="377" spans="1:38" x14ac:dyDescent="0.25">
      <c r="A377" s="2" t="s">
        <v>374</v>
      </c>
      <c r="B377">
        <f>'Rådata-K'!M376</f>
        <v>5</v>
      </c>
      <c r="C377" s="7">
        <f>'Rådata-K'!L376</f>
        <v>286.18333333329997</v>
      </c>
      <c r="D377" s="34">
        <f>'Rådata-K'!N376</f>
        <v>2.7687191589787599</v>
      </c>
      <c r="E377" s="34">
        <f>'Rådata-K'!O376</f>
        <v>-5.6652046783625676E-2</v>
      </c>
      <c r="F377" s="34">
        <f>'Rådata-K'!P376</f>
        <v>9.6474234792715996E-2</v>
      </c>
      <c r="G377" s="34">
        <f>'Rådata-K'!Q376</f>
        <v>0.20069740410693529</v>
      </c>
      <c r="H377" s="34">
        <f>'Rådata-K'!R376</f>
        <v>-0.1678403755868545</v>
      </c>
      <c r="I377" s="34">
        <f>'Rådata-K'!S376</f>
        <v>0.75830388692579509</v>
      </c>
      <c r="J377" s="22">
        <f>'Rådata-K'!K376</f>
        <v>330700</v>
      </c>
      <c r="K377" s="22">
        <f>Tabell2[[#This Row],[NIBR11]]</f>
        <v>5</v>
      </c>
      <c r="L377" s="32">
        <f>IF(Tabell2[[#This Row],[ReisetidOslo]]&lt;=C$434,C$434,IF(Tabell2[[#This Row],[ReisetidOslo]]&gt;=C$435,C$435,Tabell2[[#This Row],[ReisetidOslo]]))</f>
        <v>280.45666666669001</v>
      </c>
      <c r="M377" s="32">
        <f>IF(Tabell2[[#This Row],[Beftettotal]]&lt;=D$434,D$434,IF(Tabell2[[#This Row],[Beftettotal]]&gt;=D$435,D$435,Tabell2[[#This Row],[Beftettotal]]))</f>
        <v>2.7687191589787599</v>
      </c>
      <c r="N377" s="34">
        <f>IF(Tabell2[[#This Row],[Befvekst10]]&lt;=E$434,E$434,IF(Tabell2[[#This Row],[Befvekst10]]&gt;=E$435,E$435,Tabell2[[#This Row],[Befvekst10]]))</f>
        <v>-5.6652046783625676E-2</v>
      </c>
      <c r="O377" s="34">
        <f>IF(Tabell2[[#This Row],[Kvinneandel]]&lt;=F$434,F$434,IF(Tabell2[[#This Row],[Kvinneandel]]&gt;=F$435,F$435,Tabell2[[#This Row],[Kvinneandel]]))</f>
        <v>9.6474234792715996E-2</v>
      </c>
      <c r="P377" s="34">
        <f>IF(Tabell2[[#This Row],[Eldreandel]]&lt;=G$434,G$434,IF(Tabell2[[#This Row],[Eldreandel]]&gt;=G$435,G$435,Tabell2[[#This Row],[Eldreandel]]))</f>
        <v>0.20069740410693529</v>
      </c>
      <c r="Q377" s="34">
        <f>IF(Tabell2[[#This Row],[Sysselsettingsvekst10]]&lt;=H$434,H$434,IF(Tabell2[[#This Row],[Sysselsettingsvekst10]]&gt;=H$435,H$435,Tabell2[[#This Row],[Sysselsettingsvekst10]]))</f>
        <v>-6.9733479337269061E-2</v>
      </c>
      <c r="R377" s="34">
        <f>IF(Tabell2[[#This Row],[Yrkesaktivandel]]&lt;=I$434,I$434,IF(Tabell2[[#This Row],[Yrkesaktivandel]]&gt;=I$435,I$435,Tabell2[[#This Row],[Yrkesaktivandel]]))</f>
        <v>0.83197552842263423</v>
      </c>
      <c r="S377" s="22">
        <f>IF(Tabell2[[#This Row],[Inntekt]]&lt;=J$434,J$434,IF(Tabell2[[#This Row],[Inntekt]]&gt;=J$435,J$435,Tabell2[[#This Row],[Inntekt]]))</f>
        <v>331640</v>
      </c>
      <c r="T377" s="22">
        <f>IF(Tabell2[[#This Row],[NIBR11-T]]&lt;=K$437,100,IF(Tabell2[[#This Row],[NIBR11-T]]&gt;=K$436,0,100*(K$436-Tabell2[[#This Row],[NIBR11-T]])/K$439))</f>
        <v>60</v>
      </c>
      <c r="U377" s="7">
        <f>IF(Tabell2[[#This Row],[ReisetidOslo-T]]&lt;=L$437,100,IF(Tabell2[[#This Row],[ReisetidOslo-T]]&gt;=L$436,0,100*(L$436-Tabell2[[#This Row],[ReisetidOslo-T]])/L$439))</f>
        <v>0</v>
      </c>
      <c r="V377" s="7">
        <f>100-(M$436-Tabell2[[#This Row],[Beftettotal-T]])*100/M$439</f>
        <v>1.1131273796524255</v>
      </c>
      <c r="W377" s="7">
        <f>100-(N$436-Tabell2[[#This Row],[Befvekst10-T]])*100/N$439</f>
        <v>7.8691729490160895</v>
      </c>
      <c r="X377" s="7">
        <f>100-(O$436-Tabell2[[#This Row],[Kvinneandel-T]])*100/O$439</f>
        <v>15.812708615284791</v>
      </c>
      <c r="Y377" s="7">
        <f>(P$436-Tabell2[[#This Row],[Eldreandel-T]])*100/P$439</f>
        <v>14.998130876264975</v>
      </c>
      <c r="Z377" s="7">
        <f>100-(Q$436-Tabell2[[#This Row],[Sysselsettingsvekst10-T]])*100/Q$439</f>
        <v>0</v>
      </c>
      <c r="AA377" s="7">
        <f>100-(R$436-Tabell2[[#This Row],[Yrkesaktivandel-T]])*100/R$439</f>
        <v>0</v>
      </c>
      <c r="AB377" s="7">
        <f>100-(S$436-Tabell2[[#This Row],[Inntekt-T]])*100/S$439</f>
        <v>0</v>
      </c>
      <c r="AC377" s="55">
        <f>Tabell2[[#This Row],[NIBR11-I]]*Vekter!$B$3</f>
        <v>12</v>
      </c>
      <c r="AD377" s="55">
        <f>Tabell2[[#This Row],[ReisetidOslo-I]]*Vekter!$C$3</f>
        <v>0</v>
      </c>
      <c r="AE377" s="55">
        <f>Tabell2[[#This Row],[Beftettotal-I]]*Vekter!$D$3</f>
        <v>0.11131273796524255</v>
      </c>
      <c r="AF377" s="55">
        <f>Tabell2[[#This Row],[Befvekst10-I]]*Vekter!$E$3</f>
        <v>1.573834589803218</v>
      </c>
      <c r="AG377" s="55">
        <f>Tabell2[[#This Row],[Kvinneandel-I]]*Vekter!$F$3</f>
        <v>0.79063543076423959</v>
      </c>
      <c r="AH377" s="55">
        <f>Tabell2[[#This Row],[Eldreandel-I]]*Vekter!$G$3</f>
        <v>0.74990654381324884</v>
      </c>
      <c r="AI377" s="55">
        <f>Tabell2[[#This Row],[Sysselsettingsvekst10-I]]*Vekter!$H$3</f>
        <v>0</v>
      </c>
      <c r="AJ377" s="55">
        <f>Tabell2[[#This Row],[Yrkesaktivandel-I]]*Vekter!$J$3</f>
        <v>0</v>
      </c>
      <c r="AK377" s="55">
        <f>Tabell2[[#This Row],[Inntekt-I]]*Vekter!$L$3</f>
        <v>0</v>
      </c>
      <c r="AL377" s="56">
        <f>SUM(Tabell2[[#This Row],[NIBR11-v]:[Inntekt-v]])</f>
        <v>15.225689302345948</v>
      </c>
    </row>
    <row r="378" spans="1:38" x14ac:dyDescent="0.25">
      <c r="A378" s="2" t="s">
        <v>375</v>
      </c>
      <c r="B378">
        <f>'Rådata-K'!M377</f>
        <v>11</v>
      </c>
      <c r="C378" s="7">
        <f>'Rådata-K'!L377</f>
        <v>237.53333333333001</v>
      </c>
      <c r="D378" s="34">
        <f>'Rådata-K'!N377</f>
        <v>53.800592300098714</v>
      </c>
      <c r="E378" s="34">
        <f>'Rådata-K'!O377</f>
        <v>-9.468438538205981E-2</v>
      </c>
      <c r="F378" s="34">
        <f>'Rådata-K'!P377</f>
        <v>9.7247706422018354E-2</v>
      </c>
      <c r="G378" s="34">
        <f>'Rådata-K'!Q377</f>
        <v>0.1761467889908257</v>
      </c>
      <c r="H378" s="34">
        <f>'Rådata-K'!R377</f>
        <v>-0.14754098360655743</v>
      </c>
      <c r="I378" s="34">
        <f>'Rådata-K'!S377</f>
        <v>0.87538940809968846</v>
      </c>
      <c r="J378" s="22">
        <f>'Rådata-K'!K377</f>
        <v>354400</v>
      </c>
      <c r="K378" s="22">
        <f>Tabell2[[#This Row],[NIBR11]]</f>
        <v>11</v>
      </c>
      <c r="L378" s="32">
        <f>IF(Tabell2[[#This Row],[ReisetidOslo]]&lt;=C$434,C$434,IF(Tabell2[[#This Row],[ReisetidOslo]]&gt;=C$435,C$435,Tabell2[[#This Row],[ReisetidOslo]]))</f>
        <v>237.53333333333001</v>
      </c>
      <c r="M378" s="32">
        <f>IF(Tabell2[[#This Row],[Beftettotal]]&lt;=D$434,D$434,IF(Tabell2[[#This Row],[Beftettotal]]&gt;=D$435,D$435,Tabell2[[#This Row],[Beftettotal]]))</f>
        <v>53.800592300098714</v>
      </c>
      <c r="N378" s="34">
        <f>IF(Tabell2[[#This Row],[Befvekst10]]&lt;=E$434,E$434,IF(Tabell2[[#This Row],[Befvekst10]]&gt;=E$435,E$435,Tabell2[[#This Row],[Befvekst10]]))</f>
        <v>-7.6196156394963507E-2</v>
      </c>
      <c r="O378" s="34">
        <f>IF(Tabell2[[#This Row],[Kvinneandel]]&lt;=F$434,F$434,IF(Tabell2[[#This Row],[Kvinneandel]]&gt;=F$435,F$435,Tabell2[[#This Row],[Kvinneandel]]))</f>
        <v>9.7247706422018354E-2</v>
      </c>
      <c r="P378" s="34">
        <f>IF(Tabell2[[#This Row],[Eldreandel]]&lt;=G$434,G$434,IF(Tabell2[[#This Row],[Eldreandel]]&gt;=G$435,G$435,Tabell2[[#This Row],[Eldreandel]]))</f>
        <v>0.1761467889908257</v>
      </c>
      <c r="Q378" s="34">
        <f>IF(Tabell2[[#This Row],[Sysselsettingsvekst10]]&lt;=H$434,H$434,IF(Tabell2[[#This Row],[Sysselsettingsvekst10]]&gt;=H$435,H$435,Tabell2[[#This Row],[Sysselsettingsvekst10]]))</f>
        <v>-6.9733479337269061E-2</v>
      </c>
      <c r="R378" s="34">
        <f>IF(Tabell2[[#This Row],[Yrkesaktivandel]]&lt;=I$434,I$434,IF(Tabell2[[#This Row],[Yrkesaktivandel]]&gt;=I$435,I$435,Tabell2[[#This Row],[Yrkesaktivandel]]))</f>
        <v>0.87538940809968846</v>
      </c>
      <c r="S378" s="22">
        <f>IF(Tabell2[[#This Row],[Inntekt]]&lt;=J$434,J$434,IF(Tabell2[[#This Row],[Inntekt]]&gt;=J$435,J$435,Tabell2[[#This Row],[Inntekt]]))</f>
        <v>354400</v>
      </c>
      <c r="T378" s="22">
        <f>IF(Tabell2[[#This Row],[NIBR11-T]]&lt;=K$437,100,IF(Tabell2[[#This Row],[NIBR11-T]]&gt;=K$436,0,100*(K$436-Tabell2[[#This Row],[NIBR11-T]])/K$439))</f>
        <v>0</v>
      </c>
      <c r="U378" s="7">
        <f>IF(Tabell2[[#This Row],[ReisetidOslo-T]]&lt;=L$437,100,IF(Tabell2[[#This Row],[ReisetidOslo-T]]&gt;=L$436,0,100*(L$436-Tabell2[[#This Row],[ReisetidOslo-T]])/L$439))</f>
        <v>18.832906764177963</v>
      </c>
      <c r="V378" s="7">
        <f>100-(M$436-Tabell2[[#This Row],[Beftettotal-T]])*100/M$439</f>
        <v>40.589893272311066</v>
      </c>
      <c r="W378" s="7">
        <f>100-(N$436-Tabell2[[#This Row],[Befvekst10-T]])*100/N$439</f>
        <v>0</v>
      </c>
      <c r="X378" s="7">
        <f>100-(O$436-Tabell2[[#This Row],[Kvinneandel-T]])*100/O$439</f>
        <v>17.856593062749411</v>
      </c>
      <c r="Y378" s="7">
        <f>(P$436-Tabell2[[#This Row],[Eldreandel-T]])*100/P$439</f>
        <v>41.899514978062776</v>
      </c>
      <c r="Z378" s="7">
        <f>100-(Q$436-Tabell2[[#This Row],[Sysselsettingsvekst10-T]])*100/Q$439</f>
        <v>0</v>
      </c>
      <c r="AA378" s="7">
        <f>100-(R$436-Tabell2[[#This Row],[Yrkesaktivandel-T]])*100/R$439</f>
        <v>33.380573863667621</v>
      </c>
      <c r="AB378" s="7">
        <f>100-(S$436-Tabell2[[#This Row],[Inntekt-T]])*100/S$439</f>
        <v>26.422103552356631</v>
      </c>
      <c r="AC378" s="55">
        <f>Tabell2[[#This Row],[NIBR11-I]]*Vekter!$B$3</f>
        <v>0</v>
      </c>
      <c r="AD378" s="55">
        <f>Tabell2[[#This Row],[ReisetidOslo-I]]*Vekter!$C$3</f>
        <v>1.8832906764177963</v>
      </c>
      <c r="AE378" s="55">
        <f>Tabell2[[#This Row],[Beftettotal-I]]*Vekter!$D$3</f>
        <v>4.0589893272311066</v>
      </c>
      <c r="AF378" s="55">
        <f>Tabell2[[#This Row],[Befvekst10-I]]*Vekter!$E$3</f>
        <v>0</v>
      </c>
      <c r="AG378" s="55">
        <f>Tabell2[[#This Row],[Kvinneandel-I]]*Vekter!$F$3</f>
        <v>0.89282965313747065</v>
      </c>
      <c r="AH378" s="55">
        <f>Tabell2[[#This Row],[Eldreandel-I]]*Vekter!$G$3</f>
        <v>2.0949757489031389</v>
      </c>
      <c r="AI378" s="55">
        <f>Tabell2[[#This Row],[Sysselsettingsvekst10-I]]*Vekter!$H$3</f>
        <v>0</v>
      </c>
      <c r="AJ378" s="55">
        <f>Tabell2[[#This Row],[Yrkesaktivandel-I]]*Vekter!$J$3</f>
        <v>3.3380573863667622</v>
      </c>
      <c r="AK378" s="55">
        <f>Tabell2[[#This Row],[Inntekt-I]]*Vekter!$L$3</f>
        <v>2.6422103552356635</v>
      </c>
      <c r="AL378" s="56">
        <f>SUM(Tabell2[[#This Row],[NIBR11-v]:[Inntekt-v]])</f>
        <v>14.910353147291938</v>
      </c>
    </row>
    <row r="379" spans="1:38" x14ac:dyDescent="0.25">
      <c r="A379" s="2" t="s">
        <v>376</v>
      </c>
      <c r="B379">
        <f>'Rådata-K'!M378</f>
        <v>11</v>
      </c>
      <c r="C379" s="7">
        <f>'Rådata-K'!L378</f>
        <v>240.61666666667</v>
      </c>
      <c r="D379" s="34">
        <f>'Rådata-K'!N378</f>
        <v>41.845493562231759</v>
      </c>
      <c r="E379" s="34">
        <f>'Rådata-K'!O378</f>
        <v>4.9798115746971794E-2</v>
      </c>
      <c r="F379" s="34">
        <f>'Rådata-K'!P378</f>
        <v>0.11025641025641025</v>
      </c>
      <c r="G379" s="34">
        <f>'Rådata-K'!Q378</f>
        <v>0.16666666666666666</v>
      </c>
      <c r="H379" s="34">
        <f>'Rådata-K'!R378</f>
        <v>9.9722991689750629E-2</v>
      </c>
      <c r="I379" s="34">
        <f>'Rådata-K'!S378</f>
        <v>0.91972477064220182</v>
      </c>
      <c r="J379" s="22">
        <f>'Rådata-K'!K378</f>
        <v>355300</v>
      </c>
      <c r="K379" s="22">
        <f>Tabell2[[#This Row],[NIBR11]]</f>
        <v>11</v>
      </c>
      <c r="L379" s="32">
        <f>IF(Tabell2[[#This Row],[ReisetidOslo]]&lt;=C$434,C$434,IF(Tabell2[[#This Row],[ReisetidOslo]]&gt;=C$435,C$435,Tabell2[[#This Row],[ReisetidOslo]]))</f>
        <v>240.61666666667</v>
      </c>
      <c r="M379" s="32">
        <f>IF(Tabell2[[#This Row],[Beftettotal]]&lt;=D$434,D$434,IF(Tabell2[[#This Row],[Beftettotal]]&gt;=D$435,D$435,Tabell2[[#This Row],[Beftettotal]]))</f>
        <v>41.845493562231759</v>
      </c>
      <c r="N379" s="34">
        <f>IF(Tabell2[[#This Row],[Befvekst10]]&lt;=E$434,E$434,IF(Tabell2[[#This Row],[Befvekst10]]&gt;=E$435,E$435,Tabell2[[#This Row],[Befvekst10]]))</f>
        <v>4.9798115746971794E-2</v>
      </c>
      <c r="O379" s="34">
        <f>IF(Tabell2[[#This Row],[Kvinneandel]]&lt;=F$434,F$434,IF(Tabell2[[#This Row],[Kvinneandel]]&gt;=F$435,F$435,Tabell2[[#This Row],[Kvinneandel]]))</f>
        <v>0.11025641025641025</v>
      </c>
      <c r="P379" s="34">
        <f>IF(Tabell2[[#This Row],[Eldreandel]]&lt;=G$434,G$434,IF(Tabell2[[#This Row],[Eldreandel]]&gt;=G$435,G$435,Tabell2[[#This Row],[Eldreandel]]))</f>
        <v>0.16666666666666666</v>
      </c>
      <c r="Q379" s="34">
        <f>IF(Tabell2[[#This Row],[Sysselsettingsvekst10]]&lt;=H$434,H$434,IF(Tabell2[[#This Row],[Sysselsettingsvekst10]]&gt;=H$435,H$435,Tabell2[[#This Row],[Sysselsettingsvekst10]]))</f>
        <v>9.9722991689750629E-2</v>
      </c>
      <c r="R379" s="34">
        <f>IF(Tabell2[[#This Row],[Yrkesaktivandel]]&lt;=I$434,I$434,IF(Tabell2[[#This Row],[Yrkesaktivandel]]&gt;=I$435,I$435,Tabell2[[#This Row],[Yrkesaktivandel]]))</f>
        <v>0.91972477064220182</v>
      </c>
      <c r="S379" s="22">
        <f>IF(Tabell2[[#This Row],[Inntekt]]&lt;=J$434,J$434,IF(Tabell2[[#This Row],[Inntekt]]&gt;=J$435,J$435,Tabell2[[#This Row],[Inntekt]]))</f>
        <v>355300</v>
      </c>
      <c r="T379" s="22">
        <f>IF(Tabell2[[#This Row],[NIBR11-T]]&lt;=K$437,100,IF(Tabell2[[#This Row],[NIBR11-T]]&gt;=K$436,0,100*(K$436-Tabell2[[#This Row],[NIBR11-T]])/K$439))</f>
        <v>0</v>
      </c>
      <c r="U379" s="7">
        <f>IF(Tabell2[[#This Row],[ReisetidOslo-T]]&lt;=L$437,100,IF(Tabell2[[#This Row],[ReisetidOslo-T]]&gt;=L$436,0,100*(L$436-Tabell2[[#This Row],[ReisetidOslo-T]])/L$439))</f>
        <v>17.480073126149588</v>
      </c>
      <c r="V379" s="7">
        <f>100-(M$436-Tabell2[[#This Row],[Beftettotal-T]])*100/M$439</f>
        <v>31.341778220894099</v>
      </c>
      <c r="W379" s="7">
        <f>100-(N$436-Tabell2[[#This Row],[Befvekst10-T]])*100/N$439</f>
        <v>50.729899585454703</v>
      </c>
      <c r="X379" s="7">
        <f>100-(O$436-Tabell2[[#This Row],[Kvinneandel-T]])*100/O$439</f>
        <v>52.231851884806893</v>
      </c>
      <c r="Y379" s="7">
        <f>(P$436-Tabell2[[#This Row],[Eldreandel-T]])*100/P$439</f>
        <v>52.287377390800707</v>
      </c>
      <c r="Z379" s="7">
        <f>100-(Q$436-Tabell2[[#This Row],[Sysselsettingsvekst10-T]])*100/Q$439</f>
        <v>50.420231692170027</v>
      </c>
      <c r="AA379" s="7">
        <f>100-(R$436-Tabell2[[#This Row],[Yrkesaktivandel-T]])*100/R$439</f>
        <v>67.469668299174828</v>
      </c>
      <c r="AB379" s="7">
        <f>100-(S$436-Tabell2[[#This Row],[Inntekt-T]])*100/S$439</f>
        <v>27.466914325516598</v>
      </c>
      <c r="AC379" s="55">
        <f>Tabell2[[#This Row],[NIBR11-I]]*Vekter!$B$3</f>
        <v>0</v>
      </c>
      <c r="AD379" s="55">
        <f>Tabell2[[#This Row],[ReisetidOslo-I]]*Vekter!$C$3</f>
        <v>1.7480073126149589</v>
      </c>
      <c r="AE379" s="55">
        <f>Tabell2[[#This Row],[Beftettotal-I]]*Vekter!$D$3</f>
        <v>3.1341778220894101</v>
      </c>
      <c r="AF379" s="55">
        <f>Tabell2[[#This Row],[Befvekst10-I]]*Vekter!$E$3</f>
        <v>10.145979917090941</v>
      </c>
      <c r="AG379" s="55">
        <f>Tabell2[[#This Row],[Kvinneandel-I]]*Vekter!$F$3</f>
        <v>2.6115925942403448</v>
      </c>
      <c r="AH379" s="55">
        <f>Tabell2[[#This Row],[Eldreandel-I]]*Vekter!$G$3</f>
        <v>2.6143688695400353</v>
      </c>
      <c r="AI379" s="55">
        <f>Tabell2[[#This Row],[Sysselsettingsvekst10-I]]*Vekter!$H$3</f>
        <v>5.0420231692170034</v>
      </c>
      <c r="AJ379" s="55">
        <f>Tabell2[[#This Row],[Yrkesaktivandel-I]]*Vekter!$J$3</f>
        <v>6.7469668299174828</v>
      </c>
      <c r="AK379" s="55">
        <f>Tabell2[[#This Row],[Inntekt-I]]*Vekter!$L$3</f>
        <v>2.74669143255166</v>
      </c>
      <c r="AL379" s="56">
        <f>SUM(Tabell2[[#This Row],[NIBR11-v]:[Inntekt-v]])</f>
        <v>34.789807947261835</v>
      </c>
    </row>
    <row r="380" spans="1:38" x14ac:dyDescent="0.25">
      <c r="A380" s="2" t="s">
        <v>377</v>
      </c>
      <c r="B380">
        <f>'Rådata-K'!M379</f>
        <v>9</v>
      </c>
      <c r="C380" s="7">
        <f>'Rådata-K'!L379</f>
        <v>261.35000000000002</v>
      </c>
      <c r="D380" s="34">
        <f>'Rådata-K'!N379</f>
        <v>7.6129610942930821</v>
      </c>
      <c r="E380" s="34">
        <f>'Rådata-K'!O379</f>
        <v>-7.6190476190476142E-2</v>
      </c>
      <c r="F380" s="34">
        <f>'Rådata-K'!P379</f>
        <v>9.5729013254786458E-2</v>
      </c>
      <c r="G380" s="34">
        <f>'Rådata-K'!Q379</f>
        <v>0.20986745213549338</v>
      </c>
      <c r="H380" s="34">
        <f>'Rådata-K'!R379</f>
        <v>-2.5466893039049254E-2</v>
      </c>
      <c r="I380" s="34">
        <f>'Rådata-K'!S379</f>
        <v>0.87154696132596687</v>
      </c>
      <c r="J380" s="22">
        <f>'Rådata-K'!K379</f>
        <v>337100</v>
      </c>
      <c r="K380" s="22">
        <f>Tabell2[[#This Row],[NIBR11]]</f>
        <v>9</v>
      </c>
      <c r="L380" s="32">
        <f>IF(Tabell2[[#This Row],[ReisetidOslo]]&lt;=C$434,C$434,IF(Tabell2[[#This Row],[ReisetidOslo]]&gt;=C$435,C$435,Tabell2[[#This Row],[ReisetidOslo]]))</f>
        <v>261.35000000000002</v>
      </c>
      <c r="M380" s="32">
        <f>IF(Tabell2[[#This Row],[Beftettotal]]&lt;=D$434,D$434,IF(Tabell2[[#This Row],[Beftettotal]]&gt;=D$435,D$435,Tabell2[[#This Row],[Beftettotal]]))</f>
        <v>7.6129610942930821</v>
      </c>
      <c r="N380" s="34">
        <f>IF(Tabell2[[#This Row],[Befvekst10]]&lt;=E$434,E$434,IF(Tabell2[[#This Row],[Befvekst10]]&gt;=E$435,E$435,Tabell2[[#This Row],[Befvekst10]]))</f>
        <v>-7.6190476190476142E-2</v>
      </c>
      <c r="O380" s="34">
        <f>IF(Tabell2[[#This Row],[Kvinneandel]]&lt;=F$434,F$434,IF(Tabell2[[#This Row],[Kvinneandel]]&gt;=F$435,F$435,Tabell2[[#This Row],[Kvinneandel]]))</f>
        <v>9.5729013254786458E-2</v>
      </c>
      <c r="P380" s="34">
        <f>IF(Tabell2[[#This Row],[Eldreandel]]&lt;=G$434,G$434,IF(Tabell2[[#This Row],[Eldreandel]]&gt;=G$435,G$435,Tabell2[[#This Row],[Eldreandel]]))</f>
        <v>0.20986745213549338</v>
      </c>
      <c r="Q380" s="34">
        <f>IF(Tabell2[[#This Row],[Sysselsettingsvekst10]]&lt;=H$434,H$434,IF(Tabell2[[#This Row],[Sysselsettingsvekst10]]&gt;=H$435,H$435,Tabell2[[#This Row],[Sysselsettingsvekst10]]))</f>
        <v>-2.5466893039049254E-2</v>
      </c>
      <c r="R380" s="34">
        <f>IF(Tabell2[[#This Row],[Yrkesaktivandel]]&lt;=I$434,I$434,IF(Tabell2[[#This Row],[Yrkesaktivandel]]&gt;=I$435,I$435,Tabell2[[#This Row],[Yrkesaktivandel]]))</f>
        <v>0.87154696132596687</v>
      </c>
      <c r="S380" s="22">
        <f>IF(Tabell2[[#This Row],[Inntekt]]&lt;=J$434,J$434,IF(Tabell2[[#This Row],[Inntekt]]&gt;=J$435,J$435,Tabell2[[#This Row],[Inntekt]]))</f>
        <v>337100</v>
      </c>
      <c r="T380" s="22">
        <f>IF(Tabell2[[#This Row],[NIBR11-T]]&lt;=K$437,100,IF(Tabell2[[#This Row],[NIBR11-T]]&gt;=K$436,0,100*(K$436-Tabell2[[#This Row],[NIBR11-T]])/K$439))</f>
        <v>20</v>
      </c>
      <c r="U380" s="7">
        <f>IF(Tabell2[[#This Row],[ReisetidOslo-T]]&lt;=L$437,100,IF(Tabell2[[#This Row],[ReisetidOslo-T]]&gt;=L$436,0,100*(L$436-Tabell2[[#This Row],[ReisetidOslo-T]])/L$439))</f>
        <v>8.3831809872122989</v>
      </c>
      <c r="V380" s="7">
        <f>100-(M$436-Tabell2[[#This Row],[Beftettotal-T]])*100/M$439</f>
        <v>4.8604913903556053</v>
      </c>
      <c r="W380" s="7">
        <f>100-(N$436-Tabell2[[#This Row],[Befvekst10-T]])*100/N$439</f>
        <v>2.2870579620075659E-3</v>
      </c>
      <c r="X380" s="7">
        <f>100-(O$436-Tabell2[[#This Row],[Kvinneandel-T]])*100/O$439</f>
        <v>13.843474510779018</v>
      </c>
      <c r="Y380" s="7">
        <f>(P$436-Tabell2[[#This Row],[Eldreandel-T]])*100/P$439</f>
        <v>4.950032973972335</v>
      </c>
      <c r="Z380" s="7">
        <f>100-(Q$436-Tabell2[[#This Row],[Sysselsettingsvekst10-T]])*100/Q$439</f>
        <v>13.171120133982981</v>
      </c>
      <c r="AA380" s="7">
        <f>100-(R$436-Tabell2[[#This Row],[Yrkesaktivandel-T]])*100/R$439</f>
        <v>30.426148244452193</v>
      </c>
      <c r="AB380" s="7">
        <f>100-(S$436-Tabell2[[#This Row],[Inntekt-T]])*100/S$439</f>
        <v>6.3385186905038324</v>
      </c>
      <c r="AC380" s="55">
        <f>Tabell2[[#This Row],[NIBR11-I]]*Vekter!$B$3</f>
        <v>4</v>
      </c>
      <c r="AD380" s="55">
        <f>Tabell2[[#This Row],[ReisetidOslo-I]]*Vekter!$C$3</f>
        <v>0.83831809872122998</v>
      </c>
      <c r="AE380" s="55">
        <f>Tabell2[[#This Row],[Beftettotal-I]]*Vekter!$D$3</f>
        <v>0.48604913903556057</v>
      </c>
      <c r="AF380" s="55">
        <f>Tabell2[[#This Row],[Befvekst10-I]]*Vekter!$E$3</f>
        <v>4.5741159240151322E-4</v>
      </c>
      <c r="AG380" s="55">
        <f>Tabell2[[#This Row],[Kvinneandel-I]]*Vekter!$F$3</f>
        <v>0.69217372553895096</v>
      </c>
      <c r="AH380" s="55">
        <f>Tabell2[[#This Row],[Eldreandel-I]]*Vekter!$G$3</f>
        <v>0.24750164869861677</v>
      </c>
      <c r="AI380" s="55">
        <f>Tabell2[[#This Row],[Sysselsettingsvekst10-I]]*Vekter!$H$3</f>
        <v>1.3171120133982983</v>
      </c>
      <c r="AJ380" s="55">
        <f>Tabell2[[#This Row],[Yrkesaktivandel-I]]*Vekter!$J$3</f>
        <v>3.0426148244452196</v>
      </c>
      <c r="AK380" s="55">
        <f>Tabell2[[#This Row],[Inntekt-I]]*Vekter!$L$3</f>
        <v>0.63385186905038327</v>
      </c>
      <c r="AL380" s="56">
        <f>SUM(Tabell2[[#This Row],[NIBR11-v]:[Inntekt-v]])</f>
        <v>11.25807873048066</v>
      </c>
    </row>
    <row r="381" spans="1:38" x14ac:dyDescent="0.25">
      <c r="A381" s="2" t="s">
        <v>378</v>
      </c>
      <c r="B381">
        <f>'Rådata-K'!M380</f>
        <v>9</v>
      </c>
      <c r="C381" s="7">
        <f>'Rådata-K'!L380</f>
        <v>236.46666666666999</v>
      </c>
      <c r="D381" s="34">
        <f>'Rådata-K'!N380</f>
        <v>26.233986435568955</v>
      </c>
      <c r="E381" s="34">
        <f>'Rådata-K'!O380</f>
        <v>3.4931252322556672E-2</v>
      </c>
      <c r="F381" s="34">
        <f>'Rådata-K'!P380</f>
        <v>0.11220825852782765</v>
      </c>
      <c r="G381" s="34">
        <f>'Rådata-K'!Q380</f>
        <v>0.15834829443447038</v>
      </c>
      <c r="H381" s="34">
        <f>'Rådata-K'!R380</f>
        <v>0.19021379766365443</v>
      </c>
      <c r="I381" s="34">
        <f>'Rådata-K'!S380</f>
        <v>0.88726278546156323</v>
      </c>
      <c r="J381" s="22">
        <f>'Rådata-K'!K380</f>
        <v>352000</v>
      </c>
      <c r="K381" s="22">
        <f>Tabell2[[#This Row],[NIBR11]]</f>
        <v>9</v>
      </c>
      <c r="L381" s="32">
        <f>IF(Tabell2[[#This Row],[ReisetidOslo]]&lt;=C$434,C$434,IF(Tabell2[[#This Row],[ReisetidOslo]]&gt;=C$435,C$435,Tabell2[[#This Row],[ReisetidOslo]]))</f>
        <v>236.46666666666999</v>
      </c>
      <c r="M381" s="32">
        <f>IF(Tabell2[[#This Row],[Beftettotal]]&lt;=D$434,D$434,IF(Tabell2[[#This Row],[Beftettotal]]&gt;=D$435,D$435,Tabell2[[#This Row],[Beftettotal]]))</f>
        <v>26.233986435568955</v>
      </c>
      <c r="N381" s="34">
        <f>IF(Tabell2[[#This Row],[Befvekst10]]&lt;=E$434,E$434,IF(Tabell2[[#This Row],[Befvekst10]]&gt;=E$435,E$435,Tabell2[[#This Row],[Befvekst10]]))</f>
        <v>3.4931252322556672E-2</v>
      </c>
      <c r="O381" s="34">
        <f>IF(Tabell2[[#This Row],[Kvinneandel]]&lt;=F$434,F$434,IF(Tabell2[[#This Row],[Kvinneandel]]&gt;=F$435,F$435,Tabell2[[#This Row],[Kvinneandel]]))</f>
        <v>0.11220825852782765</v>
      </c>
      <c r="P381" s="34">
        <f>IF(Tabell2[[#This Row],[Eldreandel]]&lt;=G$434,G$434,IF(Tabell2[[#This Row],[Eldreandel]]&gt;=G$435,G$435,Tabell2[[#This Row],[Eldreandel]]))</f>
        <v>0.15834829443447038</v>
      </c>
      <c r="Q381" s="34">
        <f>IF(Tabell2[[#This Row],[Sysselsettingsvekst10]]&lt;=H$434,H$434,IF(Tabell2[[#This Row],[Sysselsettingsvekst10]]&gt;=H$435,H$435,Tabell2[[#This Row],[Sysselsettingsvekst10]]))</f>
        <v>0.19021379766365443</v>
      </c>
      <c r="R381" s="34">
        <f>IF(Tabell2[[#This Row],[Yrkesaktivandel]]&lt;=I$434,I$434,IF(Tabell2[[#This Row],[Yrkesaktivandel]]&gt;=I$435,I$435,Tabell2[[#This Row],[Yrkesaktivandel]]))</f>
        <v>0.88726278546156323</v>
      </c>
      <c r="S381" s="22">
        <f>IF(Tabell2[[#This Row],[Inntekt]]&lt;=J$434,J$434,IF(Tabell2[[#This Row],[Inntekt]]&gt;=J$435,J$435,Tabell2[[#This Row],[Inntekt]]))</f>
        <v>352000</v>
      </c>
      <c r="T381" s="22">
        <f>IF(Tabell2[[#This Row],[NIBR11-T]]&lt;=K$437,100,IF(Tabell2[[#This Row],[NIBR11-T]]&gt;=K$436,0,100*(K$436-Tabell2[[#This Row],[NIBR11-T]])/K$439))</f>
        <v>20</v>
      </c>
      <c r="U381" s="7">
        <f>IF(Tabell2[[#This Row],[ReisetidOslo-T]]&lt;=L$437,100,IF(Tabell2[[#This Row],[ReisetidOslo-T]]&gt;=L$436,0,100*(L$436-Tabell2[[#This Row],[ReisetidOslo-T]])/L$439))</f>
        <v>19.300914076789255</v>
      </c>
      <c r="V381" s="7">
        <f>100-(M$436-Tabell2[[#This Row],[Beftettotal-T]])*100/M$439</f>
        <v>19.26517248144593</v>
      </c>
      <c r="W381" s="7">
        <f>100-(N$436-Tabell2[[#This Row],[Befvekst10-T]])*100/N$439</f>
        <v>44.743956924334107</v>
      </c>
      <c r="X381" s="7">
        <f>100-(O$436-Tabell2[[#This Row],[Kvinneandel-T]])*100/O$439</f>
        <v>57.389574772922359</v>
      </c>
      <c r="Y381" s="7">
        <f>(P$436-Tabell2[[#This Row],[Eldreandel-T]])*100/P$439</f>
        <v>61.402249888362057</v>
      </c>
      <c r="Z381" s="7">
        <f>100-(Q$436-Tabell2[[#This Row],[Sysselsettingsvekst10-T]])*100/Q$439</f>
        <v>77.344947966285844</v>
      </c>
      <c r="AA381" s="7">
        <f>100-(R$436-Tabell2[[#This Row],[Yrkesaktivandel-T]])*100/R$439</f>
        <v>42.509915746667751</v>
      </c>
      <c r="AB381" s="7">
        <f>100-(S$436-Tabell2[[#This Row],[Inntekt-T]])*100/S$439</f>
        <v>23.635941490596707</v>
      </c>
      <c r="AC381" s="55">
        <f>Tabell2[[#This Row],[NIBR11-I]]*Vekter!$B$3</f>
        <v>4</v>
      </c>
      <c r="AD381" s="55">
        <f>Tabell2[[#This Row],[ReisetidOslo-I]]*Vekter!$C$3</f>
        <v>1.9300914076789255</v>
      </c>
      <c r="AE381" s="55">
        <f>Tabell2[[#This Row],[Beftettotal-I]]*Vekter!$D$3</f>
        <v>1.9265172481445931</v>
      </c>
      <c r="AF381" s="55">
        <f>Tabell2[[#This Row],[Befvekst10-I]]*Vekter!$E$3</f>
        <v>8.948791384866821</v>
      </c>
      <c r="AG381" s="55">
        <f>Tabell2[[#This Row],[Kvinneandel-I]]*Vekter!$F$3</f>
        <v>2.869478738646118</v>
      </c>
      <c r="AH381" s="55">
        <f>Tabell2[[#This Row],[Eldreandel-I]]*Vekter!$G$3</f>
        <v>3.0701124944181029</v>
      </c>
      <c r="AI381" s="55">
        <f>Tabell2[[#This Row],[Sysselsettingsvekst10-I]]*Vekter!$H$3</f>
        <v>7.7344947966285851</v>
      </c>
      <c r="AJ381" s="55">
        <f>Tabell2[[#This Row],[Yrkesaktivandel-I]]*Vekter!$J$3</f>
        <v>4.2509915746667755</v>
      </c>
      <c r="AK381" s="55">
        <f>Tabell2[[#This Row],[Inntekt-I]]*Vekter!$L$3</f>
        <v>2.3635941490596708</v>
      </c>
      <c r="AL381" s="56">
        <f>SUM(Tabell2[[#This Row],[NIBR11-v]:[Inntekt-v]])</f>
        <v>37.094071794109595</v>
      </c>
    </row>
    <row r="382" spans="1:38" x14ac:dyDescent="0.25">
      <c r="A382" s="2" t="s">
        <v>379</v>
      </c>
      <c r="B382">
        <f>'Rådata-K'!M381</f>
        <v>7</v>
      </c>
      <c r="C382" s="7">
        <f>'Rådata-K'!L381</f>
        <v>240.08333333333002</v>
      </c>
      <c r="D382" s="34">
        <f>'Rådata-K'!N381</f>
        <v>19.378469758316985</v>
      </c>
      <c r="E382" s="34">
        <f>'Rådata-K'!O381</f>
        <v>2.7783927385432783E-2</v>
      </c>
      <c r="F382" s="34">
        <f>'Rådata-K'!P381</f>
        <v>0.11631663974151858</v>
      </c>
      <c r="G382" s="34">
        <f>'Rådata-K'!Q381</f>
        <v>0.15756596661281638</v>
      </c>
      <c r="H382" s="34">
        <f>'Rådata-K'!R381</f>
        <v>0.11963266319185895</v>
      </c>
      <c r="I382" s="34">
        <f>'Rådata-K'!S381</f>
        <v>0.87497684756436378</v>
      </c>
      <c r="J382" s="22">
        <f>'Rådata-K'!K381</f>
        <v>353700</v>
      </c>
      <c r="K382" s="22">
        <f>Tabell2[[#This Row],[NIBR11]]</f>
        <v>7</v>
      </c>
      <c r="L382" s="32">
        <f>IF(Tabell2[[#This Row],[ReisetidOslo]]&lt;=C$434,C$434,IF(Tabell2[[#This Row],[ReisetidOslo]]&gt;=C$435,C$435,Tabell2[[#This Row],[ReisetidOslo]]))</f>
        <v>240.08333333333002</v>
      </c>
      <c r="M382" s="32">
        <f>IF(Tabell2[[#This Row],[Beftettotal]]&lt;=D$434,D$434,IF(Tabell2[[#This Row],[Beftettotal]]&gt;=D$435,D$435,Tabell2[[#This Row],[Beftettotal]]))</f>
        <v>19.378469758316985</v>
      </c>
      <c r="N382" s="34">
        <f>IF(Tabell2[[#This Row],[Befvekst10]]&lt;=E$434,E$434,IF(Tabell2[[#This Row],[Befvekst10]]&gt;=E$435,E$435,Tabell2[[#This Row],[Befvekst10]]))</f>
        <v>2.7783927385432783E-2</v>
      </c>
      <c r="O382" s="34">
        <f>IF(Tabell2[[#This Row],[Kvinneandel]]&lt;=F$434,F$434,IF(Tabell2[[#This Row],[Kvinneandel]]&gt;=F$435,F$435,Tabell2[[#This Row],[Kvinneandel]]))</f>
        <v>0.11631663974151858</v>
      </c>
      <c r="P382" s="34">
        <f>IF(Tabell2[[#This Row],[Eldreandel]]&lt;=G$434,G$434,IF(Tabell2[[#This Row],[Eldreandel]]&gt;=G$435,G$435,Tabell2[[#This Row],[Eldreandel]]))</f>
        <v>0.15756596661281638</v>
      </c>
      <c r="Q382" s="34">
        <f>IF(Tabell2[[#This Row],[Sysselsettingsvekst10]]&lt;=H$434,H$434,IF(Tabell2[[#This Row],[Sysselsettingsvekst10]]&gt;=H$435,H$435,Tabell2[[#This Row],[Sysselsettingsvekst10]]))</f>
        <v>0.11963266319185895</v>
      </c>
      <c r="R382" s="34">
        <f>IF(Tabell2[[#This Row],[Yrkesaktivandel]]&lt;=I$434,I$434,IF(Tabell2[[#This Row],[Yrkesaktivandel]]&gt;=I$435,I$435,Tabell2[[#This Row],[Yrkesaktivandel]]))</f>
        <v>0.87497684756436378</v>
      </c>
      <c r="S382" s="22">
        <f>IF(Tabell2[[#This Row],[Inntekt]]&lt;=J$434,J$434,IF(Tabell2[[#This Row],[Inntekt]]&gt;=J$435,J$435,Tabell2[[#This Row],[Inntekt]]))</f>
        <v>353700</v>
      </c>
      <c r="T382" s="22">
        <f>IF(Tabell2[[#This Row],[NIBR11-T]]&lt;=K$437,100,IF(Tabell2[[#This Row],[NIBR11-T]]&gt;=K$436,0,100*(K$436-Tabell2[[#This Row],[NIBR11-T]])/K$439))</f>
        <v>40</v>
      </c>
      <c r="U382" s="7">
        <f>IF(Tabell2[[#This Row],[ReisetidOslo-T]]&lt;=L$437,100,IF(Tabell2[[#This Row],[ReisetidOslo-T]]&gt;=L$436,0,100*(L$436-Tabell2[[#This Row],[ReisetidOslo-T]])/L$439))</f>
        <v>17.71407678245961</v>
      </c>
      <c r="V382" s="7">
        <f>100-(M$436-Tabell2[[#This Row],[Beftettotal-T]])*100/M$439</f>
        <v>13.961945100536326</v>
      </c>
      <c r="W382" s="7">
        <f>100-(N$436-Tabell2[[#This Row],[Befvekst10-T]])*100/N$439</f>
        <v>41.866182639829702</v>
      </c>
      <c r="X382" s="7">
        <f>100-(O$436-Tabell2[[#This Row],[Kvinneandel-T]])*100/O$439</f>
        <v>68.245895998941435</v>
      </c>
      <c r="Y382" s="7">
        <f>(P$436-Tabell2[[#This Row],[Eldreandel-T]])*100/P$439</f>
        <v>62.259487115384815</v>
      </c>
      <c r="Z382" s="7">
        <f>100-(Q$436-Tabell2[[#This Row],[Sysselsettingsvekst10-T]])*100/Q$439</f>
        <v>56.344173362660918</v>
      </c>
      <c r="AA382" s="7">
        <f>100-(R$436-Tabell2[[#This Row],[Yrkesaktivandel-T]])*100/R$439</f>
        <v>33.063359472208418</v>
      </c>
      <c r="AB382" s="7">
        <f>100-(S$436-Tabell2[[#This Row],[Inntekt-T]])*100/S$439</f>
        <v>25.609472951009977</v>
      </c>
      <c r="AC382" s="55">
        <f>Tabell2[[#This Row],[NIBR11-I]]*Vekter!$B$3</f>
        <v>8</v>
      </c>
      <c r="AD382" s="55">
        <f>Tabell2[[#This Row],[ReisetidOslo-I]]*Vekter!$C$3</f>
        <v>1.7714076782459611</v>
      </c>
      <c r="AE382" s="55">
        <f>Tabell2[[#This Row],[Beftettotal-I]]*Vekter!$D$3</f>
        <v>1.3961945100536326</v>
      </c>
      <c r="AF382" s="55">
        <f>Tabell2[[#This Row],[Befvekst10-I]]*Vekter!$E$3</f>
        <v>8.3732365279659415</v>
      </c>
      <c r="AG382" s="55">
        <f>Tabell2[[#This Row],[Kvinneandel-I]]*Vekter!$F$3</f>
        <v>3.4122947999470719</v>
      </c>
      <c r="AH382" s="55">
        <f>Tabell2[[#This Row],[Eldreandel-I]]*Vekter!$G$3</f>
        <v>3.1129743557692411</v>
      </c>
      <c r="AI382" s="55">
        <f>Tabell2[[#This Row],[Sysselsettingsvekst10-I]]*Vekter!$H$3</f>
        <v>5.6344173362660923</v>
      </c>
      <c r="AJ382" s="55">
        <f>Tabell2[[#This Row],[Yrkesaktivandel-I]]*Vekter!$J$3</f>
        <v>3.306335947220842</v>
      </c>
      <c r="AK382" s="55">
        <f>Tabell2[[#This Row],[Inntekt-I]]*Vekter!$L$3</f>
        <v>2.5609472951009979</v>
      </c>
      <c r="AL382" s="56">
        <f>SUM(Tabell2[[#This Row],[NIBR11-v]:[Inntekt-v]])</f>
        <v>37.567808450569778</v>
      </c>
    </row>
    <row r="383" spans="1:38" x14ac:dyDescent="0.25">
      <c r="A383" s="2" t="s">
        <v>380</v>
      </c>
      <c r="B383">
        <f>'Rådata-K'!M382</f>
        <v>8</v>
      </c>
      <c r="C383" s="7">
        <f>'Rådata-K'!L382</f>
        <v>249.01666666667001</v>
      </c>
      <c r="D383" s="34">
        <f>'Rådata-K'!N382</f>
        <v>14.22091217170291</v>
      </c>
      <c r="E383" s="34">
        <f>'Rådata-K'!O382</f>
        <v>2.239084463241614E-3</v>
      </c>
      <c r="F383" s="34">
        <f>'Rådata-K'!P382</f>
        <v>0.10562244011418642</v>
      </c>
      <c r="G383" s="34">
        <f>'Rådata-K'!Q382</f>
        <v>0.18331885317115551</v>
      </c>
      <c r="H383" s="34">
        <f>'Rådata-K'!R382</f>
        <v>7.2706289671090607E-2</v>
      </c>
      <c r="I383" s="34">
        <f>'Rådata-K'!S382</f>
        <v>0.87042818911685993</v>
      </c>
      <c r="J383" s="22">
        <f>'Rådata-K'!K382</f>
        <v>352700</v>
      </c>
      <c r="K383" s="22">
        <f>Tabell2[[#This Row],[NIBR11]]</f>
        <v>8</v>
      </c>
      <c r="L383" s="32">
        <f>IF(Tabell2[[#This Row],[ReisetidOslo]]&lt;=C$434,C$434,IF(Tabell2[[#This Row],[ReisetidOslo]]&gt;=C$435,C$435,Tabell2[[#This Row],[ReisetidOslo]]))</f>
        <v>249.01666666667001</v>
      </c>
      <c r="M383" s="32">
        <f>IF(Tabell2[[#This Row],[Beftettotal]]&lt;=D$434,D$434,IF(Tabell2[[#This Row],[Beftettotal]]&gt;=D$435,D$435,Tabell2[[#This Row],[Beftettotal]]))</f>
        <v>14.22091217170291</v>
      </c>
      <c r="N383" s="34">
        <f>IF(Tabell2[[#This Row],[Befvekst10]]&lt;=E$434,E$434,IF(Tabell2[[#This Row],[Befvekst10]]&gt;=E$435,E$435,Tabell2[[#This Row],[Befvekst10]]))</f>
        <v>2.239084463241614E-3</v>
      </c>
      <c r="O383" s="34">
        <f>IF(Tabell2[[#This Row],[Kvinneandel]]&lt;=F$434,F$434,IF(Tabell2[[#This Row],[Kvinneandel]]&gt;=F$435,F$435,Tabell2[[#This Row],[Kvinneandel]]))</f>
        <v>0.10562244011418642</v>
      </c>
      <c r="P383" s="34">
        <f>IF(Tabell2[[#This Row],[Eldreandel]]&lt;=G$434,G$434,IF(Tabell2[[#This Row],[Eldreandel]]&gt;=G$435,G$435,Tabell2[[#This Row],[Eldreandel]]))</f>
        <v>0.18331885317115551</v>
      </c>
      <c r="Q383" s="34">
        <f>IF(Tabell2[[#This Row],[Sysselsettingsvekst10]]&lt;=H$434,H$434,IF(Tabell2[[#This Row],[Sysselsettingsvekst10]]&gt;=H$435,H$435,Tabell2[[#This Row],[Sysselsettingsvekst10]]))</f>
        <v>7.2706289671090607E-2</v>
      </c>
      <c r="R383" s="34">
        <f>IF(Tabell2[[#This Row],[Yrkesaktivandel]]&lt;=I$434,I$434,IF(Tabell2[[#This Row],[Yrkesaktivandel]]&gt;=I$435,I$435,Tabell2[[#This Row],[Yrkesaktivandel]]))</f>
        <v>0.87042818911685993</v>
      </c>
      <c r="S383" s="22">
        <f>IF(Tabell2[[#This Row],[Inntekt]]&lt;=J$434,J$434,IF(Tabell2[[#This Row],[Inntekt]]&gt;=J$435,J$435,Tabell2[[#This Row],[Inntekt]]))</f>
        <v>352700</v>
      </c>
      <c r="T383" s="22">
        <f>IF(Tabell2[[#This Row],[NIBR11-T]]&lt;=K$437,100,IF(Tabell2[[#This Row],[NIBR11-T]]&gt;=K$436,0,100*(K$436-Tabell2[[#This Row],[NIBR11-T]])/K$439))</f>
        <v>30</v>
      </c>
      <c r="U383" s="7">
        <f>IF(Tabell2[[#This Row],[ReisetidOslo-T]]&lt;=L$437,100,IF(Tabell2[[#This Row],[ReisetidOslo-T]]&gt;=L$436,0,100*(L$436-Tabell2[[#This Row],[ReisetidOslo-T]])/L$439))</f>
        <v>13.794515539312668</v>
      </c>
      <c r="V383" s="7">
        <f>100-(M$436-Tabell2[[#This Row],[Beftettotal-T]])*100/M$439</f>
        <v>9.9722092571813761</v>
      </c>
      <c r="W383" s="7">
        <f>100-(N$436-Tabell2[[#This Row],[Befvekst10-T]])*100/N$439</f>
        <v>31.58089510779709</v>
      </c>
      <c r="X383" s="7">
        <f>100-(O$436-Tabell2[[#This Row],[Kvinneandel-T]])*100/O$439</f>
        <v>39.986671654667774</v>
      </c>
      <c r="Y383" s="7">
        <f>(P$436-Tabell2[[#This Row],[Eldreandel-T]])*100/P$439</f>
        <v>34.04071175031001</v>
      </c>
      <c r="Z383" s="7">
        <f>100-(Q$436-Tabell2[[#This Row],[Sysselsettingsvekst10-T]])*100/Q$439</f>
        <v>42.381657732241656</v>
      </c>
      <c r="AA383" s="7">
        <f>100-(R$436-Tabell2[[#This Row],[Yrkesaktivandel-T]])*100/R$439</f>
        <v>29.565933524171129</v>
      </c>
      <c r="AB383" s="7">
        <f>100-(S$436-Tabell2[[#This Row],[Inntekt-T]])*100/S$439</f>
        <v>24.448572091943348</v>
      </c>
      <c r="AC383" s="55">
        <f>Tabell2[[#This Row],[NIBR11-I]]*Vekter!$B$3</f>
        <v>6</v>
      </c>
      <c r="AD383" s="55">
        <f>Tabell2[[#This Row],[ReisetidOslo-I]]*Vekter!$C$3</f>
        <v>1.3794515539312668</v>
      </c>
      <c r="AE383" s="55">
        <f>Tabell2[[#This Row],[Beftettotal-I]]*Vekter!$D$3</f>
        <v>0.9972209257181377</v>
      </c>
      <c r="AF383" s="55">
        <f>Tabell2[[#This Row],[Befvekst10-I]]*Vekter!$E$3</f>
        <v>6.3161790215594182</v>
      </c>
      <c r="AG383" s="55">
        <f>Tabell2[[#This Row],[Kvinneandel-I]]*Vekter!$F$3</f>
        <v>1.9993335827333887</v>
      </c>
      <c r="AH383" s="55">
        <f>Tabell2[[#This Row],[Eldreandel-I]]*Vekter!$G$3</f>
        <v>1.7020355875155007</v>
      </c>
      <c r="AI383" s="55">
        <f>Tabell2[[#This Row],[Sysselsettingsvekst10-I]]*Vekter!$H$3</f>
        <v>4.238165773224166</v>
      </c>
      <c r="AJ383" s="55">
        <f>Tabell2[[#This Row],[Yrkesaktivandel-I]]*Vekter!$J$3</f>
        <v>2.9565933524171131</v>
      </c>
      <c r="AK383" s="55">
        <f>Tabell2[[#This Row],[Inntekt-I]]*Vekter!$L$3</f>
        <v>2.444857209194335</v>
      </c>
      <c r="AL383" s="56">
        <f>SUM(Tabell2[[#This Row],[NIBR11-v]:[Inntekt-v]])</f>
        <v>28.033837006293325</v>
      </c>
    </row>
    <row r="384" spans="1:38" x14ac:dyDescent="0.25">
      <c r="A384" s="2" t="s">
        <v>381</v>
      </c>
      <c r="B384">
        <f>'Rådata-K'!M383</f>
        <v>8</v>
      </c>
      <c r="C384" s="7">
        <f>'Rådata-K'!L383</f>
        <v>306.21666666670001</v>
      </c>
      <c r="D384" s="34">
        <f>'Rådata-K'!N383</f>
        <v>10.710231879357872</v>
      </c>
      <c r="E384" s="34">
        <f>'Rådata-K'!O383</f>
        <v>-0.12021312021312025</v>
      </c>
      <c r="F384" s="34">
        <f>'Rådata-K'!P383</f>
        <v>7.8728236184708561E-2</v>
      </c>
      <c r="G384" s="34">
        <f>'Rådata-K'!Q383</f>
        <v>0.2604087812263437</v>
      </c>
      <c r="H384" s="34">
        <f>'Rådata-K'!R383</f>
        <v>-9.0462143559488672E-2</v>
      </c>
      <c r="I384" s="34">
        <f>'Rådata-K'!S383</f>
        <v>0.7963898916967509</v>
      </c>
      <c r="J384" s="22">
        <f>'Rådata-K'!K383</f>
        <v>316300</v>
      </c>
      <c r="K384" s="22">
        <f>Tabell2[[#This Row],[NIBR11]]</f>
        <v>8</v>
      </c>
      <c r="L384" s="32">
        <f>IF(Tabell2[[#This Row],[ReisetidOslo]]&lt;=C$434,C$434,IF(Tabell2[[#This Row],[ReisetidOslo]]&gt;=C$435,C$435,Tabell2[[#This Row],[ReisetidOslo]]))</f>
        <v>280.45666666669001</v>
      </c>
      <c r="M384" s="32">
        <f>IF(Tabell2[[#This Row],[Beftettotal]]&lt;=D$434,D$434,IF(Tabell2[[#This Row],[Beftettotal]]&gt;=D$435,D$435,Tabell2[[#This Row],[Beftettotal]]))</f>
        <v>10.710231879357872</v>
      </c>
      <c r="N384" s="34">
        <f>IF(Tabell2[[#This Row],[Befvekst10]]&lt;=E$434,E$434,IF(Tabell2[[#This Row],[Befvekst10]]&gt;=E$435,E$435,Tabell2[[#This Row],[Befvekst10]]))</f>
        <v>-7.6196156394963507E-2</v>
      </c>
      <c r="O384" s="34">
        <f>IF(Tabell2[[#This Row],[Kvinneandel]]&lt;=F$434,F$434,IF(Tabell2[[#This Row],[Kvinneandel]]&gt;=F$435,F$435,Tabell2[[#This Row],[Kvinneandel]]))</f>
        <v>9.0490197137593403E-2</v>
      </c>
      <c r="P384" s="34">
        <f>IF(Tabell2[[#This Row],[Eldreandel]]&lt;=G$434,G$434,IF(Tabell2[[#This Row],[Eldreandel]]&gt;=G$435,G$435,Tabell2[[#This Row],[Eldreandel]]))</f>
        <v>0.21438492803547596</v>
      </c>
      <c r="Q384" s="34">
        <f>IF(Tabell2[[#This Row],[Sysselsettingsvekst10]]&lt;=H$434,H$434,IF(Tabell2[[#This Row],[Sysselsettingsvekst10]]&gt;=H$435,H$435,Tabell2[[#This Row],[Sysselsettingsvekst10]]))</f>
        <v>-6.9733479337269061E-2</v>
      </c>
      <c r="R384" s="34">
        <f>IF(Tabell2[[#This Row],[Yrkesaktivandel]]&lt;=I$434,I$434,IF(Tabell2[[#This Row],[Yrkesaktivandel]]&gt;=I$435,I$435,Tabell2[[#This Row],[Yrkesaktivandel]]))</f>
        <v>0.83197552842263423</v>
      </c>
      <c r="S384" s="22">
        <f>IF(Tabell2[[#This Row],[Inntekt]]&lt;=J$434,J$434,IF(Tabell2[[#This Row],[Inntekt]]&gt;=J$435,J$435,Tabell2[[#This Row],[Inntekt]]))</f>
        <v>331640</v>
      </c>
      <c r="T384" s="22">
        <f>IF(Tabell2[[#This Row],[NIBR11-T]]&lt;=K$437,100,IF(Tabell2[[#This Row],[NIBR11-T]]&gt;=K$436,0,100*(K$436-Tabell2[[#This Row],[NIBR11-T]])/K$439))</f>
        <v>30</v>
      </c>
      <c r="U384" s="7">
        <f>IF(Tabell2[[#This Row],[ReisetidOslo-T]]&lt;=L$437,100,IF(Tabell2[[#This Row],[ReisetidOslo-T]]&gt;=L$436,0,100*(L$436-Tabell2[[#This Row],[ReisetidOslo-T]])/L$439))</f>
        <v>0</v>
      </c>
      <c r="V384" s="7">
        <f>100-(M$436-Tabell2[[#This Row],[Beftettotal-T]])*100/M$439</f>
        <v>7.2564495663382189</v>
      </c>
      <c r="W384" s="7">
        <f>100-(N$436-Tabell2[[#This Row],[Befvekst10-T]])*100/N$439</f>
        <v>0</v>
      </c>
      <c r="X384" s="7">
        <f>100-(O$436-Tabell2[[#This Row],[Kvinneandel-T]])*100/O$439</f>
        <v>0</v>
      </c>
      <c r="Y384" s="7">
        <f>(P$436-Tabell2[[#This Row],[Eldreandel-T]])*100/P$439</f>
        <v>0</v>
      </c>
      <c r="Z384" s="7">
        <f>100-(Q$436-Tabell2[[#This Row],[Sysselsettingsvekst10-T]])*100/Q$439</f>
        <v>0</v>
      </c>
      <c r="AA384" s="7">
        <f>100-(R$436-Tabell2[[#This Row],[Yrkesaktivandel-T]])*100/R$439</f>
        <v>0</v>
      </c>
      <c r="AB384" s="7">
        <f>100-(S$436-Tabell2[[#This Row],[Inntekt-T]])*100/S$439</f>
        <v>0</v>
      </c>
      <c r="AC384" s="55">
        <f>Tabell2[[#This Row],[NIBR11-I]]*Vekter!$B$3</f>
        <v>6</v>
      </c>
      <c r="AD384" s="55">
        <f>Tabell2[[#This Row],[ReisetidOslo-I]]*Vekter!$C$3</f>
        <v>0</v>
      </c>
      <c r="AE384" s="55">
        <f>Tabell2[[#This Row],[Beftettotal-I]]*Vekter!$D$3</f>
        <v>0.72564495663382189</v>
      </c>
      <c r="AF384" s="55">
        <f>Tabell2[[#This Row],[Befvekst10-I]]*Vekter!$E$3</f>
        <v>0</v>
      </c>
      <c r="AG384" s="55">
        <f>Tabell2[[#This Row],[Kvinneandel-I]]*Vekter!$F$3</f>
        <v>0</v>
      </c>
      <c r="AH384" s="55">
        <f>Tabell2[[#This Row],[Eldreandel-I]]*Vekter!$G$3</f>
        <v>0</v>
      </c>
      <c r="AI384" s="55">
        <f>Tabell2[[#This Row],[Sysselsettingsvekst10-I]]*Vekter!$H$3</f>
        <v>0</v>
      </c>
      <c r="AJ384" s="55">
        <f>Tabell2[[#This Row],[Yrkesaktivandel-I]]*Vekter!$J$3</f>
        <v>0</v>
      </c>
      <c r="AK384" s="55">
        <f>Tabell2[[#This Row],[Inntekt-I]]*Vekter!$L$3</f>
        <v>0</v>
      </c>
      <c r="AL384" s="56">
        <f>SUM(Tabell2[[#This Row],[NIBR11-v]:[Inntekt-v]])</f>
        <v>6.7256449566338219</v>
      </c>
    </row>
    <row r="385" spans="1:38" x14ac:dyDescent="0.25">
      <c r="A385" s="2" t="s">
        <v>382</v>
      </c>
      <c r="B385">
        <f>'Rådata-K'!M384</f>
        <v>8</v>
      </c>
      <c r="C385" s="7">
        <f>'Rådata-K'!L384</f>
        <v>294.8333333333</v>
      </c>
      <c r="D385" s="34">
        <f>'Rådata-K'!N384</f>
        <v>14.281243153578918</v>
      </c>
      <c r="E385" s="34">
        <f>'Rådata-K'!O384</f>
        <v>2.8571428571428914E-3</v>
      </c>
      <c r="F385" s="34">
        <f>'Rådata-K'!P384</f>
        <v>0.10913872452333991</v>
      </c>
      <c r="G385" s="34">
        <f>'Rådata-K'!Q384</f>
        <v>0.16348893271970194</v>
      </c>
      <c r="H385" s="34">
        <f>'Rådata-K'!R384</f>
        <v>6.2601187263896296E-2</v>
      </c>
      <c r="I385" s="34">
        <f>'Rådata-K'!S384</f>
        <v>0.83333333333333337</v>
      </c>
      <c r="J385" s="22">
        <f>'Rådata-K'!K384</f>
        <v>352600</v>
      </c>
      <c r="K385" s="22">
        <f>Tabell2[[#This Row],[NIBR11]]</f>
        <v>8</v>
      </c>
      <c r="L385" s="32">
        <f>IF(Tabell2[[#This Row],[ReisetidOslo]]&lt;=C$434,C$434,IF(Tabell2[[#This Row],[ReisetidOslo]]&gt;=C$435,C$435,Tabell2[[#This Row],[ReisetidOslo]]))</f>
        <v>280.45666666669001</v>
      </c>
      <c r="M385" s="32">
        <f>IF(Tabell2[[#This Row],[Beftettotal]]&lt;=D$434,D$434,IF(Tabell2[[#This Row],[Beftettotal]]&gt;=D$435,D$435,Tabell2[[#This Row],[Beftettotal]]))</f>
        <v>14.281243153578918</v>
      </c>
      <c r="N385" s="34">
        <f>IF(Tabell2[[#This Row],[Befvekst10]]&lt;=E$434,E$434,IF(Tabell2[[#This Row],[Befvekst10]]&gt;=E$435,E$435,Tabell2[[#This Row],[Befvekst10]]))</f>
        <v>2.8571428571428914E-3</v>
      </c>
      <c r="O385" s="34">
        <f>IF(Tabell2[[#This Row],[Kvinneandel]]&lt;=F$434,F$434,IF(Tabell2[[#This Row],[Kvinneandel]]&gt;=F$435,F$435,Tabell2[[#This Row],[Kvinneandel]]))</f>
        <v>0.10913872452333991</v>
      </c>
      <c r="P385" s="34">
        <f>IF(Tabell2[[#This Row],[Eldreandel]]&lt;=G$434,G$434,IF(Tabell2[[#This Row],[Eldreandel]]&gt;=G$435,G$435,Tabell2[[#This Row],[Eldreandel]]))</f>
        <v>0.16348893271970194</v>
      </c>
      <c r="Q385" s="34">
        <f>IF(Tabell2[[#This Row],[Sysselsettingsvekst10]]&lt;=H$434,H$434,IF(Tabell2[[#This Row],[Sysselsettingsvekst10]]&gt;=H$435,H$435,Tabell2[[#This Row],[Sysselsettingsvekst10]]))</f>
        <v>6.2601187263896296E-2</v>
      </c>
      <c r="R385" s="34">
        <f>IF(Tabell2[[#This Row],[Yrkesaktivandel]]&lt;=I$434,I$434,IF(Tabell2[[#This Row],[Yrkesaktivandel]]&gt;=I$435,I$435,Tabell2[[#This Row],[Yrkesaktivandel]]))</f>
        <v>0.83333333333333337</v>
      </c>
      <c r="S385" s="22">
        <f>IF(Tabell2[[#This Row],[Inntekt]]&lt;=J$434,J$434,IF(Tabell2[[#This Row],[Inntekt]]&gt;=J$435,J$435,Tabell2[[#This Row],[Inntekt]]))</f>
        <v>352600</v>
      </c>
      <c r="T385" s="22">
        <f>IF(Tabell2[[#This Row],[NIBR11-T]]&lt;=K$437,100,IF(Tabell2[[#This Row],[NIBR11-T]]&gt;=K$436,0,100*(K$436-Tabell2[[#This Row],[NIBR11-T]])/K$439))</f>
        <v>30</v>
      </c>
      <c r="U385" s="7">
        <f>IF(Tabell2[[#This Row],[ReisetidOslo-T]]&lt;=L$437,100,IF(Tabell2[[#This Row],[ReisetidOslo-T]]&gt;=L$436,0,100*(L$436-Tabell2[[#This Row],[ReisetidOslo-T]])/L$439))</f>
        <v>0</v>
      </c>
      <c r="V385" s="7">
        <f>100-(M$436-Tabell2[[#This Row],[Beftettotal-T]])*100/M$439</f>
        <v>10.018879541868117</v>
      </c>
      <c r="W385" s="7">
        <f>100-(N$436-Tabell2[[#This Row],[Befvekst10-T]])*100/N$439</f>
        <v>31.829748009818204</v>
      </c>
      <c r="X385" s="7">
        <f>100-(O$436-Tabell2[[#This Row],[Kvinneandel-T]])*100/O$439</f>
        <v>49.278388046661931</v>
      </c>
      <c r="Y385" s="7">
        <f>(P$436-Tabell2[[#This Row],[Eldreandel-T]])*100/P$439</f>
        <v>55.769385522830191</v>
      </c>
      <c r="Z385" s="7">
        <f>100-(Q$436-Tabell2[[#This Row],[Sysselsettingsvekst10-T]])*100/Q$439</f>
        <v>39.374976420185995</v>
      </c>
      <c r="AA385" s="7">
        <f>100-(R$436-Tabell2[[#This Row],[Yrkesaktivandel-T]])*100/R$439</f>
        <v>1.0440049922098638</v>
      </c>
      <c r="AB385" s="7">
        <f>100-(S$436-Tabell2[[#This Row],[Inntekt-T]])*100/S$439</f>
        <v>24.332482006036685</v>
      </c>
      <c r="AC385" s="55">
        <f>Tabell2[[#This Row],[NIBR11-I]]*Vekter!$B$3</f>
        <v>6</v>
      </c>
      <c r="AD385" s="55">
        <f>Tabell2[[#This Row],[ReisetidOslo-I]]*Vekter!$C$3</f>
        <v>0</v>
      </c>
      <c r="AE385" s="55">
        <f>Tabell2[[#This Row],[Beftettotal-I]]*Vekter!$D$3</f>
        <v>1.0018879541868118</v>
      </c>
      <c r="AF385" s="55">
        <f>Tabell2[[#This Row],[Befvekst10-I]]*Vekter!$E$3</f>
        <v>6.3659496019636412</v>
      </c>
      <c r="AG385" s="55">
        <f>Tabell2[[#This Row],[Kvinneandel-I]]*Vekter!$F$3</f>
        <v>2.4639194023330968</v>
      </c>
      <c r="AH385" s="55">
        <f>Tabell2[[#This Row],[Eldreandel-I]]*Vekter!$G$3</f>
        <v>2.7884692761415097</v>
      </c>
      <c r="AI385" s="55">
        <f>Tabell2[[#This Row],[Sysselsettingsvekst10-I]]*Vekter!$H$3</f>
        <v>3.9374976420185996</v>
      </c>
      <c r="AJ385" s="55">
        <f>Tabell2[[#This Row],[Yrkesaktivandel-I]]*Vekter!$J$3</f>
        <v>0.10440049922098638</v>
      </c>
      <c r="AK385" s="55">
        <f>Tabell2[[#This Row],[Inntekt-I]]*Vekter!$L$3</f>
        <v>2.4332482006036686</v>
      </c>
      <c r="AL385" s="56">
        <f>SUM(Tabell2[[#This Row],[NIBR11-v]:[Inntekt-v]])</f>
        <v>25.095372576468311</v>
      </c>
    </row>
    <row r="386" spans="1:38" x14ac:dyDescent="0.25">
      <c r="A386" s="2" t="s">
        <v>383</v>
      </c>
      <c r="B386">
        <f>'Rådata-K'!M385</f>
        <v>8</v>
      </c>
      <c r="C386" s="7">
        <f>'Rådata-K'!L385</f>
        <v>261.11666666669998</v>
      </c>
      <c r="D386" s="34">
        <f>'Rådata-K'!N385</f>
        <v>14.082087794877479</v>
      </c>
      <c r="E386" s="34">
        <f>'Rådata-K'!O385</f>
        <v>6.6065436241610653E-2</v>
      </c>
      <c r="F386" s="34">
        <f>'Rådata-K'!P385</f>
        <v>0.11567971670273461</v>
      </c>
      <c r="G386" s="34">
        <f>'Rådata-K'!Q385</f>
        <v>0.14223883533346449</v>
      </c>
      <c r="H386" s="34">
        <f>'Rådata-K'!R385</f>
        <v>2.2990803678528682E-2</v>
      </c>
      <c r="I386" s="34">
        <f>'Rådata-K'!S385</f>
        <v>0.86169849931787179</v>
      </c>
      <c r="J386" s="22">
        <f>'Rådata-K'!K385</f>
        <v>364400</v>
      </c>
      <c r="K386" s="22">
        <f>Tabell2[[#This Row],[NIBR11]]</f>
        <v>8</v>
      </c>
      <c r="L386" s="32">
        <f>IF(Tabell2[[#This Row],[ReisetidOslo]]&lt;=C$434,C$434,IF(Tabell2[[#This Row],[ReisetidOslo]]&gt;=C$435,C$435,Tabell2[[#This Row],[ReisetidOslo]]))</f>
        <v>261.11666666669998</v>
      </c>
      <c r="M386" s="32">
        <f>IF(Tabell2[[#This Row],[Beftettotal]]&lt;=D$434,D$434,IF(Tabell2[[#This Row],[Beftettotal]]&gt;=D$435,D$435,Tabell2[[#This Row],[Beftettotal]]))</f>
        <v>14.082087794877479</v>
      </c>
      <c r="N386" s="34">
        <f>IF(Tabell2[[#This Row],[Befvekst10]]&lt;=E$434,E$434,IF(Tabell2[[#This Row],[Befvekst10]]&gt;=E$435,E$435,Tabell2[[#This Row],[Befvekst10]]))</f>
        <v>6.6065436241610653E-2</v>
      </c>
      <c r="O386" s="34">
        <f>IF(Tabell2[[#This Row],[Kvinneandel]]&lt;=F$434,F$434,IF(Tabell2[[#This Row],[Kvinneandel]]&gt;=F$435,F$435,Tabell2[[#This Row],[Kvinneandel]]))</f>
        <v>0.11567971670273461</v>
      </c>
      <c r="P386" s="34">
        <f>IF(Tabell2[[#This Row],[Eldreandel]]&lt;=G$434,G$434,IF(Tabell2[[#This Row],[Eldreandel]]&gt;=G$435,G$435,Tabell2[[#This Row],[Eldreandel]]))</f>
        <v>0.14223883533346449</v>
      </c>
      <c r="Q386" s="34">
        <f>IF(Tabell2[[#This Row],[Sysselsettingsvekst10]]&lt;=H$434,H$434,IF(Tabell2[[#This Row],[Sysselsettingsvekst10]]&gt;=H$435,H$435,Tabell2[[#This Row],[Sysselsettingsvekst10]]))</f>
        <v>2.2990803678528682E-2</v>
      </c>
      <c r="R386" s="34">
        <f>IF(Tabell2[[#This Row],[Yrkesaktivandel]]&lt;=I$434,I$434,IF(Tabell2[[#This Row],[Yrkesaktivandel]]&gt;=I$435,I$435,Tabell2[[#This Row],[Yrkesaktivandel]]))</f>
        <v>0.86169849931787179</v>
      </c>
      <c r="S386" s="22">
        <f>IF(Tabell2[[#This Row],[Inntekt]]&lt;=J$434,J$434,IF(Tabell2[[#This Row],[Inntekt]]&gt;=J$435,J$435,Tabell2[[#This Row],[Inntekt]]))</f>
        <v>364400</v>
      </c>
      <c r="T386" s="22">
        <f>IF(Tabell2[[#This Row],[NIBR11-T]]&lt;=K$437,100,IF(Tabell2[[#This Row],[NIBR11-T]]&gt;=K$436,0,100*(K$436-Tabell2[[#This Row],[NIBR11-T]])/K$439))</f>
        <v>30</v>
      </c>
      <c r="U386" s="7">
        <f>IF(Tabell2[[#This Row],[ReisetidOslo-T]]&lt;=L$437,100,IF(Tabell2[[#This Row],[ReisetidOslo-T]]&gt;=L$436,0,100*(L$436-Tabell2[[#This Row],[ReisetidOslo-T]])/L$439))</f>
        <v>8.4855575868320496</v>
      </c>
      <c r="V386" s="7">
        <f>100-(M$436-Tabell2[[#This Row],[Beftettotal-T]])*100/M$439</f>
        <v>9.8648187757664232</v>
      </c>
      <c r="W386" s="7">
        <f>100-(N$436-Tabell2[[#This Row],[Befvekst10-T]])*100/N$439</f>
        <v>57.279717455649532</v>
      </c>
      <c r="X386" s="7">
        <f>100-(O$436-Tabell2[[#This Row],[Kvinneandel-T]])*100/O$439</f>
        <v>66.562838671581346</v>
      </c>
      <c r="Y386" s="7">
        <f>(P$436-Tabell2[[#This Row],[Eldreandel-T]])*100/P$439</f>
        <v>79.054220924476567</v>
      </c>
      <c r="Z386" s="7">
        <f>100-(Q$436-Tabell2[[#This Row],[Sysselsettingsvekst10-T]])*100/Q$439</f>
        <v>27.589267053728591</v>
      </c>
      <c r="AA386" s="7">
        <f>100-(R$436-Tabell2[[#This Row],[Yrkesaktivandel-T]])*100/R$439</f>
        <v>22.853747068832391</v>
      </c>
      <c r="AB386" s="7">
        <f>100-(S$436-Tabell2[[#This Row],[Inntekt-T]])*100/S$439</f>
        <v>38.031112143022987</v>
      </c>
      <c r="AC386" s="55">
        <f>Tabell2[[#This Row],[NIBR11-I]]*Vekter!$B$3</f>
        <v>6</v>
      </c>
      <c r="AD386" s="55">
        <f>Tabell2[[#This Row],[ReisetidOslo-I]]*Vekter!$C$3</f>
        <v>0.84855575868320499</v>
      </c>
      <c r="AE386" s="55">
        <f>Tabell2[[#This Row],[Beftettotal-I]]*Vekter!$D$3</f>
        <v>0.98648187757664241</v>
      </c>
      <c r="AF386" s="55">
        <f>Tabell2[[#This Row],[Befvekst10-I]]*Vekter!$E$3</f>
        <v>11.455943491129908</v>
      </c>
      <c r="AG386" s="55">
        <f>Tabell2[[#This Row],[Kvinneandel-I]]*Vekter!$F$3</f>
        <v>3.3281419335790674</v>
      </c>
      <c r="AH386" s="55">
        <f>Tabell2[[#This Row],[Eldreandel-I]]*Vekter!$G$3</f>
        <v>3.9527110462238286</v>
      </c>
      <c r="AI386" s="55">
        <f>Tabell2[[#This Row],[Sysselsettingsvekst10-I]]*Vekter!$H$3</f>
        <v>2.7589267053728594</v>
      </c>
      <c r="AJ386" s="55">
        <f>Tabell2[[#This Row],[Yrkesaktivandel-I]]*Vekter!$J$3</f>
        <v>2.2853747068832391</v>
      </c>
      <c r="AK386" s="55">
        <f>Tabell2[[#This Row],[Inntekt-I]]*Vekter!$L$3</f>
        <v>3.8031112143022989</v>
      </c>
      <c r="AL386" s="56">
        <f>SUM(Tabell2[[#This Row],[NIBR11-v]:[Inntekt-v]])</f>
        <v>35.419246733751052</v>
      </c>
    </row>
    <row r="387" spans="1:38" x14ac:dyDescent="0.25">
      <c r="A387" s="2" t="s">
        <v>384</v>
      </c>
      <c r="B387">
        <f>'Rådata-K'!M386</f>
        <v>9</v>
      </c>
      <c r="C387" s="7">
        <f>'Rådata-K'!L386</f>
        <v>256.8</v>
      </c>
      <c r="D387" s="34">
        <f>'Rådata-K'!N386</f>
        <v>7.606840212156313</v>
      </c>
      <c r="E387" s="34">
        <f>'Rådata-K'!O386</f>
        <v>-6.5530799475753576E-2</v>
      </c>
      <c r="F387" s="34">
        <f>'Rådata-K'!P386</f>
        <v>9.497094770587057E-2</v>
      </c>
      <c r="G387" s="34">
        <f>'Rådata-K'!Q386</f>
        <v>0.20476858345021037</v>
      </c>
      <c r="H387" s="34">
        <f>'Rådata-K'!R386</f>
        <v>3.0927835051546282E-2</v>
      </c>
      <c r="I387" s="34">
        <f>'Rådata-K'!S386</f>
        <v>0.86043058648849291</v>
      </c>
      <c r="J387" s="22">
        <f>'Rådata-K'!K386</f>
        <v>358000</v>
      </c>
      <c r="K387" s="22">
        <f>Tabell2[[#This Row],[NIBR11]]</f>
        <v>9</v>
      </c>
      <c r="L387" s="32">
        <f>IF(Tabell2[[#This Row],[ReisetidOslo]]&lt;=C$434,C$434,IF(Tabell2[[#This Row],[ReisetidOslo]]&gt;=C$435,C$435,Tabell2[[#This Row],[ReisetidOslo]]))</f>
        <v>256.8</v>
      </c>
      <c r="M387" s="32">
        <f>IF(Tabell2[[#This Row],[Beftettotal]]&lt;=D$434,D$434,IF(Tabell2[[#This Row],[Beftettotal]]&gt;=D$435,D$435,Tabell2[[#This Row],[Beftettotal]]))</f>
        <v>7.606840212156313</v>
      </c>
      <c r="N387" s="34">
        <f>IF(Tabell2[[#This Row],[Befvekst10]]&lt;=E$434,E$434,IF(Tabell2[[#This Row],[Befvekst10]]&gt;=E$435,E$435,Tabell2[[#This Row],[Befvekst10]]))</f>
        <v>-6.5530799475753576E-2</v>
      </c>
      <c r="O387" s="34">
        <f>IF(Tabell2[[#This Row],[Kvinneandel]]&lt;=F$434,F$434,IF(Tabell2[[#This Row],[Kvinneandel]]&gt;=F$435,F$435,Tabell2[[#This Row],[Kvinneandel]]))</f>
        <v>9.497094770587057E-2</v>
      </c>
      <c r="P387" s="34">
        <f>IF(Tabell2[[#This Row],[Eldreandel]]&lt;=G$434,G$434,IF(Tabell2[[#This Row],[Eldreandel]]&gt;=G$435,G$435,Tabell2[[#This Row],[Eldreandel]]))</f>
        <v>0.20476858345021037</v>
      </c>
      <c r="Q387" s="34">
        <f>IF(Tabell2[[#This Row],[Sysselsettingsvekst10]]&lt;=H$434,H$434,IF(Tabell2[[#This Row],[Sysselsettingsvekst10]]&gt;=H$435,H$435,Tabell2[[#This Row],[Sysselsettingsvekst10]]))</f>
        <v>3.0927835051546282E-2</v>
      </c>
      <c r="R387" s="34">
        <f>IF(Tabell2[[#This Row],[Yrkesaktivandel]]&lt;=I$434,I$434,IF(Tabell2[[#This Row],[Yrkesaktivandel]]&gt;=I$435,I$435,Tabell2[[#This Row],[Yrkesaktivandel]]))</f>
        <v>0.86043058648849291</v>
      </c>
      <c r="S387" s="22">
        <f>IF(Tabell2[[#This Row],[Inntekt]]&lt;=J$434,J$434,IF(Tabell2[[#This Row],[Inntekt]]&gt;=J$435,J$435,Tabell2[[#This Row],[Inntekt]]))</f>
        <v>358000</v>
      </c>
      <c r="T387" s="22">
        <f>IF(Tabell2[[#This Row],[NIBR11-T]]&lt;=K$437,100,IF(Tabell2[[#This Row],[NIBR11-T]]&gt;=K$436,0,100*(K$436-Tabell2[[#This Row],[NIBR11-T]])/K$439))</f>
        <v>20</v>
      </c>
      <c r="U387" s="7">
        <f>IF(Tabell2[[#This Row],[ReisetidOslo-T]]&lt;=L$437,100,IF(Tabell2[[#This Row],[ReisetidOslo-T]]&gt;=L$436,0,100*(L$436-Tabell2[[#This Row],[ReisetidOslo-T]])/L$439))</f>
        <v>10.3795246800823</v>
      </c>
      <c r="V387" s="7">
        <f>100-(M$436-Tabell2[[#This Row],[Beftettotal-T]])*100/M$439</f>
        <v>4.8557564547889314</v>
      </c>
      <c r="W387" s="7">
        <f>100-(N$436-Tabell2[[#This Row],[Befvekst10-T]])*100/N$439</f>
        <v>4.2942625593729247</v>
      </c>
      <c r="X387" s="7">
        <f>100-(O$436-Tabell2[[#This Row],[Kvinneandel-T]])*100/O$439</f>
        <v>11.840300345250256</v>
      </c>
      <c r="Y387" s="7">
        <f>(P$436-Tabell2[[#This Row],[Eldreandel-T]])*100/P$439</f>
        <v>10.537128219395372</v>
      </c>
      <c r="Z387" s="7">
        <f>100-(Q$436-Tabell2[[#This Row],[Sysselsettingsvekst10-T]])*100/Q$439</f>
        <v>29.950858548878756</v>
      </c>
      <c r="AA387" s="7">
        <f>100-(R$436-Tabell2[[#This Row],[Yrkesaktivandel-T]])*100/R$439</f>
        <v>21.87885935622505</v>
      </c>
      <c r="AB387" s="7">
        <f>100-(S$436-Tabell2[[#This Row],[Inntekt-T]])*100/S$439</f>
        <v>30.601346644996511</v>
      </c>
      <c r="AC387" s="55">
        <f>Tabell2[[#This Row],[NIBR11-I]]*Vekter!$B$3</f>
        <v>4</v>
      </c>
      <c r="AD387" s="55">
        <f>Tabell2[[#This Row],[ReisetidOslo-I]]*Vekter!$C$3</f>
        <v>1.0379524680082299</v>
      </c>
      <c r="AE387" s="55">
        <f>Tabell2[[#This Row],[Beftettotal-I]]*Vekter!$D$3</f>
        <v>0.48557564547889315</v>
      </c>
      <c r="AF387" s="55">
        <f>Tabell2[[#This Row],[Befvekst10-I]]*Vekter!$E$3</f>
        <v>0.858852511874585</v>
      </c>
      <c r="AG387" s="55">
        <f>Tabell2[[#This Row],[Kvinneandel-I]]*Vekter!$F$3</f>
        <v>0.59201501726251282</v>
      </c>
      <c r="AH387" s="55">
        <f>Tabell2[[#This Row],[Eldreandel-I]]*Vekter!$G$3</f>
        <v>0.52685641096976865</v>
      </c>
      <c r="AI387" s="55">
        <f>Tabell2[[#This Row],[Sysselsettingsvekst10-I]]*Vekter!$H$3</f>
        <v>2.9950858548878756</v>
      </c>
      <c r="AJ387" s="55">
        <f>Tabell2[[#This Row],[Yrkesaktivandel-I]]*Vekter!$J$3</f>
        <v>2.1878859356225049</v>
      </c>
      <c r="AK387" s="55">
        <f>Tabell2[[#This Row],[Inntekt-I]]*Vekter!$L$3</f>
        <v>3.0601346644996514</v>
      </c>
      <c r="AL387" s="56">
        <f>SUM(Tabell2[[#This Row],[NIBR11-v]:[Inntekt-v]])</f>
        <v>15.744358508604023</v>
      </c>
    </row>
    <row r="388" spans="1:38" x14ac:dyDescent="0.25">
      <c r="A388" s="2" t="s">
        <v>385</v>
      </c>
      <c r="B388">
        <f>'Rådata-K'!M387</f>
        <v>11</v>
      </c>
      <c r="C388" s="7">
        <f>'Rådata-K'!L387</f>
        <v>283.11666666669998</v>
      </c>
      <c r="D388" s="34">
        <f>'Rådata-K'!N387</f>
        <v>9.0204012814027976</v>
      </c>
      <c r="E388" s="34">
        <f>'Rådata-K'!O387</f>
        <v>-0.10907577019150705</v>
      </c>
      <c r="F388" s="34">
        <f>'Rådata-K'!P387</f>
        <v>9.2523364485981308E-2</v>
      </c>
      <c r="G388" s="34">
        <f>'Rådata-K'!Q387</f>
        <v>0.23177570093457944</v>
      </c>
      <c r="H388" s="34">
        <f>'Rådata-K'!R387</f>
        <v>-9.7701149425287404E-2</v>
      </c>
      <c r="I388" s="34">
        <f>'Rådata-K'!S387</f>
        <v>0.91156462585034015</v>
      </c>
      <c r="J388" s="22">
        <f>'Rådata-K'!K387</f>
        <v>352600</v>
      </c>
      <c r="K388" s="22">
        <f>Tabell2[[#This Row],[NIBR11]]</f>
        <v>11</v>
      </c>
      <c r="L388" s="32">
        <f>IF(Tabell2[[#This Row],[ReisetidOslo]]&lt;=C$434,C$434,IF(Tabell2[[#This Row],[ReisetidOslo]]&gt;=C$435,C$435,Tabell2[[#This Row],[ReisetidOslo]]))</f>
        <v>280.45666666669001</v>
      </c>
      <c r="M388" s="32">
        <f>IF(Tabell2[[#This Row],[Beftettotal]]&lt;=D$434,D$434,IF(Tabell2[[#This Row],[Beftettotal]]&gt;=D$435,D$435,Tabell2[[#This Row],[Beftettotal]]))</f>
        <v>9.0204012814027976</v>
      </c>
      <c r="N388" s="34">
        <f>IF(Tabell2[[#This Row],[Befvekst10]]&lt;=E$434,E$434,IF(Tabell2[[#This Row],[Befvekst10]]&gt;=E$435,E$435,Tabell2[[#This Row],[Befvekst10]]))</f>
        <v>-7.6196156394963507E-2</v>
      </c>
      <c r="O388" s="34">
        <f>IF(Tabell2[[#This Row],[Kvinneandel]]&lt;=F$434,F$434,IF(Tabell2[[#This Row],[Kvinneandel]]&gt;=F$435,F$435,Tabell2[[#This Row],[Kvinneandel]]))</f>
        <v>9.2523364485981308E-2</v>
      </c>
      <c r="P388" s="34">
        <f>IF(Tabell2[[#This Row],[Eldreandel]]&lt;=G$434,G$434,IF(Tabell2[[#This Row],[Eldreandel]]&gt;=G$435,G$435,Tabell2[[#This Row],[Eldreandel]]))</f>
        <v>0.21438492803547596</v>
      </c>
      <c r="Q388" s="34">
        <f>IF(Tabell2[[#This Row],[Sysselsettingsvekst10]]&lt;=H$434,H$434,IF(Tabell2[[#This Row],[Sysselsettingsvekst10]]&gt;=H$435,H$435,Tabell2[[#This Row],[Sysselsettingsvekst10]]))</f>
        <v>-6.9733479337269061E-2</v>
      </c>
      <c r="R388" s="34">
        <f>IF(Tabell2[[#This Row],[Yrkesaktivandel]]&lt;=I$434,I$434,IF(Tabell2[[#This Row],[Yrkesaktivandel]]&gt;=I$435,I$435,Tabell2[[#This Row],[Yrkesaktivandel]]))</f>
        <v>0.91156462585034015</v>
      </c>
      <c r="S388" s="22">
        <f>IF(Tabell2[[#This Row],[Inntekt]]&lt;=J$434,J$434,IF(Tabell2[[#This Row],[Inntekt]]&gt;=J$435,J$435,Tabell2[[#This Row],[Inntekt]]))</f>
        <v>352600</v>
      </c>
      <c r="T388" s="22">
        <f>IF(Tabell2[[#This Row],[NIBR11-T]]&lt;=K$437,100,IF(Tabell2[[#This Row],[NIBR11-T]]&gt;=K$436,0,100*(K$436-Tabell2[[#This Row],[NIBR11-T]])/K$439))</f>
        <v>0</v>
      </c>
      <c r="U388" s="7">
        <f>IF(Tabell2[[#This Row],[ReisetidOslo-T]]&lt;=L$437,100,IF(Tabell2[[#This Row],[ReisetidOslo-T]]&gt;=L$436,0,100*(L$436-Tabell2[[#This Row],[ReisetidOslo-T]])/L$439))</f>
        <v>0</v>
      </c>
      <c r="V388" s="7">
        <f>100-(M$436-Tabell2[[#This Row],[Beftettotal-T]])*100/M$439</f>
        <v>5.9492459932055795</v>
      </c>
      <c r="W388" s="7">
        <f>100-(N$436-Tabell2[[#This Row],[Befvekst10-T]])*100/N$439</f>
        <v>0</v>
      </c>
      <c r="X388" s="7">
        <f>100-(O$436-Tabell2[[#This Row],[Kvinneandel-T]])*100/O$439</f>
        <v>5.3726070421110279</v>
      </c>
      <c r="Y388" s="7">
        <f>(P$436-Tabell2[[#This Row],[Eldreandel-T]])*100/P$439</f>
        <v>0</v>
      </c>
      <c r="Z388" s="7">
        <f>100-(Q$436-Tabell2[[#This Row],[Sysselsettingsvekst10-T]])*100/Q$439</f>
        <v>0</v>
      </c>
      <c r="AA388" s="7">
        <f>100-(R$436-Tabell2[[#This Row],[Yrkesaktivandel-T]])*100/R$439</f>
        <v>61.195400300341063</v>
      </c>
      <c r="AB388" s="7">
        <f>100-(S$436-Tabell2[[#This Row],[Inntekt-T]])*100/S$439</f>
        <v>24.332482006036685</v>
      </c>
      <c r="AC388" s="55">
        <f>Tabell2[[#This Row],[NIBR11-I]]*Vekter!$B$3</f>
        <v>0</v>
      </c>
      <c r="AD388" s="55">
        <f>Tabell2[[#This Row],[ReisetidOslo-I]]*Vekter!$C$3</f>
        <v>0</v>
      </c>
      <c r="AE388" s="55">
        <f>Tabell2[[#This Row],[Beftettotal-I]]*Vekter!$D$3</f>
        <v>0.59492459932055797</v>
      </c>
      <c r="AF388" s="55">
        <f>Tabell2[[#This Row],[Befvekst10-I]]*Vekter!$E$3</f>
        <v>0</v>
      </c>
      <c r="AG388" s="55">
        <f>Tabell2[[#This Row],[Kvinneandel-I]]*Vekter!$F$3</f>
        <v>0.26863035210555142</v>
      </c>
      <c r="AH388" s="55">
        <f>Tabell2[[#This Row],[Eldreandel-I]]*Vekter!$G$3</f>
        <v>0</v>
      </c>
      <c r="AI388" s="55">
        <f>Tabell2[[#This Row],[Sysselsettingsvekst10-I]]*Vekter!$H$3</f>
        <v>0</v>
      </c>
      <c r="AJ388" s="55">
        <f>Tabell2[[#This Row],[Yrkesaktivandel-I]]*Vekter!$J$3</f>
        <v>6.1195400300341065</v>
      </c>
      <c r="AK388" s="55">
        <f>Tabell2[[#This Row],[Inntekt-I]]*Vekter!$L$3</f>
        <v>2.4332482006036686</v>
      </c>
      <c r="AL388" s="56">
        <f>SUM(Tabell2[[#This Row],[NIBR11-v]:[Inntekt-v]])</f>
        <v>9.4163431820638834</v>
      </c>
    </row>
    <row r="389" spans="1:38" x14ac:dyDescent="0.25">
      <c r="A389" s="2" t="s">
        <v>386</v>
      </c>
      <c r="B389">
        <f>'Rådata-K'!M388</f>
        <v>4</v>
      </c>
      <c r="C389" s="7">
        <f>'Rådata-K'!L388</f>
        <v>215.6</v>
      </c>
      <c r="D389" s="34">
        <f>'Rådata-K'!N388</f>
        <v>28.834686841677211</v>
      </c>
      <c r="E389" s="34">
        <f>'Rådata-K'!O388</f>
        <v>0.16181783305092878</v>
      </c>
      <c r="F389" s="34">
        <f>'Rådata-K'!P388</f>
        <v>0.14948886228863115</v>
      </c>
      <c r="G389" s="34">
        <f>'Rådata-K'!Q388</f>
        <v>0.10228257728980064</v>
      </c>
      <c r="H389" s="34">
        <f>'Rådata-K'!R388</f>
        <v>0.15438255313237947</v>
      </c>
      <c r="I389" s="34">
        <f>'Rådata-K'!S388</f>
        <v>0.86397401191120737</v>
      </c>
      <c r="J389" s="22">
        <f>'Rådata-K'!K388</f>
        <v>402600</v>
      </c>
      <c r="K389" s="22">
        <f>Tabell2[[#This Row],[NIBR11]]</f>
        <v>4</v>
      </c>
      <c r="L389" s="32">
        <f>IF(Tabell2[[#This Row],[ReisetidOslo]]&lt;=C$434,C$434,IF(Tabell2[[#This Row],[ReisetidOslo]]&gt;=C$435,C$435,Tabell2[[#This Row],[ReisetidOslo]]))</f>
        <v>215.6</v>
      </c>
      <c r="M389" s="32">
        <f>IF(Tabell2[[#This Row],[Beftettotal]]&lt;=D$434,D$434,IF(Tabell2[[#This Row],[Beftettotal]]&gt;=D$435,D$435,Tabell2[[#This Row],[Beftettotal]]))</f>
        <v>28.834686841677211</v>
      </c>
      <c r="N389" s="34">
        <f>IF(Tabell2[[#This Row],[Befvekst10]]&lt;=E$434,E$434,IF(Tabell2[[#This Row],[Befvekst10]]&gt;=E$435,E$435,Tabell2[[#This Row],[Befvekst10]]))</f>
        <v>0.16181783305092878</v>
      </c>
      <c r="O389" s="34">
        <f>IF(Tabell2[[#This Row],[Kvinneandel]]&lt;=F$434,F$434,IF(Tabell2[[#This Row],[Kvinneandel]]&gt;=F$435,F$435,Tabell2[[#This Row],[Kvinneandel]]))</f>
        <v>0.12833341426573511</v>
      </c>
      <c r="P389" s="34">
        <f>IF(Tabell2[[#This Row],[Eldreandel]]&lt;=G$434,G$434,IF(Tabell2[[#This Row],[Eldreandel]]&gt;=G$435,G$435,Tabell2[[#This Row],[Eldreandel]]))</f>
        <v>0.12312339657223466</v>
      </c>
      <c r="Q389" s="34">
        <f>IF(Tabell2[[#This Row],[Sysselsettingsvekst10]]&lt;=H$434,H$434,IF(Tabell2[[#This Row],[Sysselsettingsvekst10]]&gt;=H$435,H$435,Tabell2[[#This Row],[Sysselsettingsvekst10]]))</f>
        <v>0.15438255313237947</v>
      </c>
      <c r="R389" s="34">
        <f>IF(Tabell2[[#This Row],[Yrkesaktivandel]]&lt;=I$434,I$434,IF(Tabell2[[#This Row],[Yrkesaktivandel]]&gt;=I$435,I$435,Tabell2[[#This Row],[Yrkesaktivandel]]))</f>
        <v>0.86397401191120737</v>
      </c>
      <c r="S389" s="22">
        <f>IF(Tabell2[[#This Row],[Inntekt]]&lt;=J$434,J$434,IF(Tabell2[[#This Row],[Inntekt]]&gt;=J$435,J$435,Tabell2[[#This Row],[Inntekt]]))</f>
        <v>402600</v>
      </c>
      <c r="T389" s="22">
        <f>IF(Tabell2[[#This Row],[NIBR11-T]]&lt;=K$437,100,IF(Tabell2[[#This Row],[NIBR11-T]]&gt;=K$436,0,100*(K$436-Tabell2[[#This Row],[NIBR11-T]])/K$439))</f>
        <v>70</v>
      </c>
      <c r="U389" s="7">
        <f>IF(Tabell2[[#This Row],[ReisetidOslo-T]]&lt;=L$437,100,IF(Tabell2[[#This Row],[ReisetidOslo-T]]&gt;=L$436,0,100*(L$436-Tabell2[[#This Row],[ReisetidOslo-T]])/L$439))</f>
        <v>28.456307129806234</v>
      </c>
      <c r="V389" s="7">
        <f>100-(M$436-Tabell2[[#This Row],[Beftettotal-T]])*100/M$439</f>
        <v>21.27699832222919</v>
      </c>
      <c r="W389" s="7">
        <f>100-(N$436-Tabell2[[#This Row],[Befvekst10-T]])*100/N$439</f>
        <v>95.833132564323918</v>
      </c>
      <c r="X389" s="7">
        <f>100-(O$436-Tabell2[[#This Row],[Kvinneandel-T]])*100/O$439</f>
        <v>100</v>
      </c>
      <c r="Y389" s="7">
        <f>(P$436-Tabell2[[#This Row],[Eldreandel-T]])*100/P$439</f>
        <v>100</v>
      </c>
      <c r="Z389" s="7">
        <f>100-(Q$436-Tabell2[[#This Row],[Sysselsettingsvekst10-T]])*100/Q$439</f>
        <v>66.683687052870383</v>
      </c>
      <c r="AA389" s="7">
        <f>100-(R$436-Tabell2[[#This Row],[Yrkesaktivandel-T]])*100/R$439</f>
        <v>24.603369925959598</v>
      </c>
      <c r="AB389" s="7">
        <f>100-(S$436-Tabell2[[#This Row],[Inntekt-T]])*100/S$439</f>
        <v>82.377524959368472</v>
      </c>
      <c r="AC389" s="55">
        <f>Tabell2[[#This Row],[NIBR11-I]]*Vekter!$B$3</f>
        <v>14</v>
      </c>
      <c r="AD389" s="55">
        <f>Tabell2[[#This Row],[ReisetidOslo-I]]*Vekter!$C$3</f>
        <v>2.8456307129806238</v>
      </c>
      <c r="AE389" s="55">
        <f>Tabell2[[#This Row],[Beftettotal-I]]*Vekter!$D$3</f>
        <v>2.1276998322229193</v>
      </c>
      <c r="AF389" s="55">
        <f>Tabell2[[#This Row],[Befvekst10-I]]*Vekter!$E$3</f>
        <v>19.166626512864784</v>
      </c>
      <c r="AG389" s="55">
        <f>Tabell2[[#This Row],[Kvinneandel-I]]*Vekter!$F$3</f>
        <v>5</v>
      </c>
      <c r="AH389" s="55">
        <f>Tabell2[[#This Row],[Eldreandel-I]]*Vekter!$G$3</f>
        <v>5</v>
      </c>
      <c r="AI389" s="55">
        <f>Tabell2[[#This Row],[Sysselsettingsvekst10-I]]*Vekter!$H$3</f>
        <v>6.6683687052870386</v>
      </c>
      <c r="AJ389" s="55">
        <f>Tabell2[[#This Row],[Yrkesaktivandel-I]]*Vekter!$J$3</f>
        <v>2.4603369925959599</v>
      </c>
      <c r="AK389" s="55">
        <f>Tabell2[[#This Row],[Inntekt-I]]*Vekter!$L$3</f>
        <v>8.2377524959368476</v>
      </c>
      <c r="AL389" s="56">
        <f>SUM(Tabell2[[#This Row],[NIBR11-v]:[Inntekt-v]])</f>
        <v>65.506415251888171</v>
      </c>
    </row>
    <row r="390" spans="1:38" x14ac:dyDescent="0.25">
      <c r="A390" s="2" t="s">
        <v>387</v>
      </c>
      <c r="B390">
        <f>'Rådata-K'!M389</f>
        <v>5</v>
      </c>
      <c r="C390" s="7">
        <f>'Rådata-K'!L389</f>
        <v>234.96666666670001</v>
      </c>
      <c r="D390" s="34">
        <f>'Rådata-K'!N389</f>
        <v>55.434245405939706</v>
      </c>
      <c r="E390" s="34">
        <f>'Rådata-K'!O389</f>
        <v>4.3691578902846473E-2</v>
      </c>
      <c r="F390" s="34">
        <f>'Rådata-K'!P389</f>
        <v>0.12230507375587615</v>
      </c>
      <c r="G390" s="34">
        <f>'Rådata-K'!Q389</f>
        <v>0.15286107959150591</v>
      </c>
      <c r="H390" s="34">
        <f>'Rådata-K'!R389</f>
        <v>5.9882782638239984E-2</v>
      </c>
      <c r="I390" s="34">
        <f>'Rådata-K'!S389</f>
        <v>0.86114764310929603</v>
      </c>
      <c r="J390" s="22">
        <f>'Rådata-K'!K389</f>
        <v>381900</v>
      </c>
      <c r="K390" s="22">
        <f>Tabell2[[#This Row],[NIBR11]]</f>
        <v>5</v>
      </c>
      <c r="L390" s="32">
        <f>IF(Tabell2[[#This Row],[ReisetidOslo]]&lt;=C$434,C$434,IF(Tabell2[[#This Row],[ReisetidOslo]]&gt;=C$435,C$435,Tabell2[[#This Row],[ReisetidOslo]]))</f>
        <v>234.96666666670001</v>
      </c>
      <c r="M390" s="32">
        <f>IF(Tabell2[[#This Row],[Beftettotal]]&lt;=D$434,D$434,IF(Tabell2[[#This Row],[Beftettotal]]&gt;=D$435,D$435,Tabell2[[#This Row],[Beftettotal]]))</f>
        <v>55.434245405939706</v>
      </c>
      <c r="N390" s="34">
        <f>IF(Tabell2[[#This Row],[Befvekst10]]&lt;=E$434,E$434,IF(Tabell2[[#This Row],[Befvekst10]]&gt;=E$435,E$435,Tabell2[[#This Row],[Befvekst10]]))</f>
        <v>4.3691578902846473E-2</v>
      </c>
      <c r="O390" s="34">
        <f>IF(Tabell2[[#This Row],[Kvinneandel]]&lt;=F$434,F$434,IF(Tabell2[[#This Row],[Kvinneandel]]&gt;=F$435,F$435,Tabell2[[#This Row],[Kvinneandel]]))</f>
        <v>0.12230507375587615</v>
      </c>
      <c r="P390" s="34">
        <f>IF(Tabell2[[#This Row],[Eldreandel]]&lt;=G$434,G$434,IF(Tabell2[[#This Row],[Eldreandel]]&gt;=G$435,G$435,Tabell2[[#This Row],[Eldreandel]]))</f>
        <v>0.15286107959150591</v>
      </c>
      <c r="Q390" s="34">
        <f>IF(Tabell2[[#This Row],[Sysselsettingsvekst10]]&lt;=H$434,H$434,IF(Tabell2[[#This Row],[Sysselsettingsvekst10]]&gt;=H$435,H$435,Tabell2[[#This Row],[Sysselsettingsvekst10]]))</f>
        <v>5.9882782638239984E-2</v>
      </c>
      <c r="R390" s="34">
        <f>IF(Tabell2[[#This Row],[Yrkesaktivandel]]&lt;=I$434,I$434,IF(Tabell2[[#This Row],[Yrkesaktivandel]]&gt;=I$435,I$435,Tabell2[[#This Row],[Yrkesaktivandel]]))</f>
        <v>0.86114764310929603</v>
      </c>
      <c r="S390" s="22">
        <f>IF(Tabell2[[#This Row],[Inntekt]]&lt;=J$434,J$434,IF(Tabell2[[#This Row],[Inntekt]]&gt;=J$435,J$435,Tabell2[[#This Row],[Inntekt]]))</f>
        <v>381900</v>
      </c>
      <c r="T390" s="22">
        <f>IF(Tabell2[[#This Row],[NIBR11-T]]&lt;=K$437,100,IF(Tabell2[[#This Row],[NIBR11-T]]&gt;=K$436,0,100*(K$436-Tabell2[[#This Row],[NIBR11-T]])/K$439))</f>
        <v>60</v>
      </c>
      <c r="U390" s="7">
        <f>IF(Tabell2[[#This Row],[ReisetidOslo-T]]&lt;=L$437,100,IF(Tabell2[[#This Row],[ReisetidOslo-T]]&gt;=L$436,0,100*(L$436-Tabell2[[#This Row],[ReisetidOslo-T]])/L$439))</f>
        <v>19.959049360139822</v>
      </c>
      <c r="V390" s="7">
        <f>100-(M$436-Tabell2[[#This Row],[Beftettotal-T]])*100/M$439</f>
        <v>41.853639579070361</v>
      </c>
      <c r="W390" s="7">
        <f>100-(N$436-Tabell2[[#This Row],[Befvekst10-T]])*100/N$439</f>
        <v>48.271184632378272</v>
      </c>
      <c r="X390" s="7">
        <f>100-(O$436-Tabell2[[#This Row],[Kvinneandel-T]])*100/O$439</f>
        <v>84.07022191203707</v>
      </c>
      <c r="Y390" s="7">
        <f>(P$436-Tabell2[[#This Row],[Eldreandel-T]])*100/P$439</f>
        <v>67.414876188825389</v>
      </c>
      <c r="Z390" s="7">
        <f>100-(Q$436-Tabell2[[#This Row],[Sysselsettingsvekst10-T]])*100/Q$439</f>
        <v>38.566139848599398</v>
      </c>
      <c r="AA390" s="7">
        <f>100-(R$436-Tabell2[[#This Row],[Yrkesaktivandel-T]])*100/R$439</f>
        <v>22.430198275326575</v>
      </c>
      <c r="AB390" s="7">
        <f>100-(S$436-Tabell2[[#This Row],[Inntekt-T]])*100/S$439</f>
        <v>58.346877176689112</v>
      </c>
      <c r="AC390" s="55">
        <f>Tabell2[[#This Row],[NIBR11-I]]*Vekter!$B$3</f>
        <v>12</v>
      </c>
      <c r="AD390" s="55">
        <f>Tabell2[[#This Row],[ReisetidOslo-I]]*Vekter!$C$3</f>
        <v>1.9959049360139822</v>
      </c>
      <c r="AE390" s="55">
        <f>Tabell2[[#This Row],[Beftettotal-I]]*Vekter!$D$3</f>
        <v>4.1853639579070361</v>
      </c>
      <c r="AF390" s="55">
        <f>Tabell2[[#This Row],[Befvekst10-I]]*Vekter!$E$3</f>
        <v>9.6542369264756545</v>
      </c>
      <c r="AG390" s="55">
        <f>Tabell2[[#This Row],[Kvinneandel-I]]*Vekter!$F$3</f>
        <v>4.2035110956018533</v>
      </c>
      <c r="AH390" s="55">
        <f>Tabell2[[#This Row],[Eldreandel-I]]*Vekter!$G$3</f>
        <v>3.3707438094412696</v>
      </c>
      <c r="AI390" s="55">
        <f>Tabell2[[#This Row],[Sysselsettingsvekst10-I]]*Vekter!$H$3</f>
        <v>3.8566139848599401</v>
      </c>
      <c r="AJ390" s="55">
        <f>Tabell2[[#This Row],[Yrkesaktivandel-I]]*Vekter!$J$3</f>
        <v>2.2430198275326574</v>
      </c>
      <c r="AK390" s="55">
        <f>Tabell2[[#This Row],[Inntekt-I]]*Vekter!$L$3</f>
        <v>5.8346877176689116</v>
      </c>
      <c r="AL390" s="56">
        <f>SUM(Tabell2[[#This Row],[NIBR11-v]:[Inntekt-v]])</f>
        <v>47.344082255501306</v>
      </c>
    </row>
    <row r="391" spans="1:38" x14ac:dyDescent="0.25">
      <c r="A391" s="2" t="s">
        <v>388</v>
      </c>
      <c r="B391">
        <f>'Rådata-K'!M390</f>
        <v>5</v>
      </c>
      <c r="C391" s="7">
        <f>'Rådata-K'!L390</f>
        <v>247.4</v>
      </c>
      <c r="D391" s="34">
        <f>'Rådata-K'!N390</f>
        <v>6.0010144757891446</v>
      </c>
      <c r="E391" s="34">
        <f>'Rådata-K'!O390</f>
        <v>1.3020833333332593E-3</v>
      </c>
      <c r="F391" s="34">
        <f>'Rådata-K'!P390</f>
        <v>0.10663198959687907</v>
      </c>
      <c r="G391" s="34">
        <f>'Rådata-K'!Q390</f>
        <v>0.17522756827048114</v>
      </c>
      <c r="H391" s="34">
        <f>'Rådata-K'!R390</f>
        <v>-0.12537537537537535</v>
      </c>
      <c r="I391" s="34">
        <f>'Rådata-K'!S390</f>
        <v>0.84269005847953216</v>
      </c>
      <c r="J391" s="22">
        <f>'Rådata-K'!K390</f>
        <v>331700</v>
      </c>
      <c r="K391" s="22">
        <f>Tabell2[[#This Row],[NIBR11]]</f>
        <v>5</v>
      </c>
      <c r="L391" s="32">
        <f>IF(Tabell2[[#This Row],[ReisetidOslo]]&lt;=C$434,C$434,IF(Tabell2[[#This Row],[ReisetidOslo]]&gt;=C$435,C$435,Tabell2[[#This Row],[ReisetidOslo]]))</f>
        <v>247.4</v>
      </c>
      <c r="M391" s="32">
        <f>IF(Tabell2[[#This Row],[Beftettotal]]&lt;=D$434,D$434,IF(Tabell2[[#This Row],[Beftettotal]]&gt;=D$435,D$435,Tabell2[[#This Row],[Beftettotal]]))</f>
        <v>6.0010144757891446</v>
      </c>
      <c r="N391" s="34">
        <f>IF(Tabell2[[#This Row],[Befvekst10]]&lt;=E$434,E$434,IF(Tabell2[[#This Row],[Befvekst10]]&gt;=E$435,E$435,Tabell2[[#This Row],[Befvekst10]]))</f>
        <v>1.3020833333332593E-3</v>
      </c>
      <c r="O391" s="34">
        <f>IF(Tabell2[[#This Row],[Kvinneandel]]&lt;=F$434,F$434,IF(Tabell2[[#This Row],[Kvinneandel]]&gt;=F$435,F$435,Tabell2[[#This Row],[Kvinneandel]]))</f>
        <v>0.10663198959687907</v>
      </c>
      <c r="P391" s="34">
        <f>IF(Tabell2[[#This Row],[Eldreandel]]&lt;=G$434,G$434,IF(Tabell2[[#This Row],[Eldreandel]]&gt;=G$435,G$435,Tabell2[[#This Row],[Eldreandel]]))</f>
        <v>0.17522756827048114</v>
      </c>
      <c r="Q391" s="34">
        <f>IF(Tabell2[[#This Row],[Sysselsettingsvekst10]]&lt;=H$434,H$434,IF(Tabell2[[#This Row],[Sysselsettingsvekst10]]&gt;=H$435,H$435,Tabell2[[#This Row],[Sysselsettingsvekst10]]))</f>
        <v>-6.9733479337269061E-2</v>
      </c>
      <c r="R391" s="34">
        <f>IF(Tabell2[[#This Row],[Yrkesaktivandel]]&lt;=I$434,I$434,IF(Tabell2[[#This Row],[Yrkesaktivandel]]&gt;=I$435,I$435,Tabell2[[#This Row],[Yrkesaktivandel]]))</f>
        <v>0.84269005847953216</v>
      </c>
      <c r="S391" s="22">
        <f>IF(Tabell2[[#This Row],[Inntekt]]&lt;=J$434,J$434,IF(Tabell2[[#This Row],[Inntekt]]&gt;=J$435,J$435,Tabell2[[#This Row],[Inntekt]]))</f>
        <v>331700</v>
      </c>
      <c r="T391" s="22">
        <f>IF(Tabell2[[#This Row],[NIBR11-T]]&lt;=K$437,100,IF(Tabell2[[#This Row],[NIBR11-T]]&gt;=K$436,0,100*(K$436-Tabell2[[#This Row],[NIBR11-T]])/K$439))</f>
        <v>60</v>
      </c>
      <c r="U391" s="7">
        <f>IF(Tabell2[[#This Row],[ReisetidOslo-T]]&lt;=L$437,100,IF(Tabell2[[#This Row],[ReisetidOslo-T]]&gt;=L$436,0,100*(L$436-Tabell2[[#This Row],[ReisetidOslo-T]])/L$439))</f>
        <v>14.503839122495044</v>
      </c>
      <c r="V391" s="7">
        <f>100-(M$436-Tabell2[[#This Row],[Beftettotal-T]])*100/M$439</f>
        <v>3.6135365879290475</v>
      </c>
      <c r="W391" s="7">
        <f>100-(N$436-Tabell2[[#This Row],[Befvekst10-T]])*100/N$439</f>
        <v>31.203624201559691</v>
      </c>
      <c r="X391" s="7">
        <f>100-(O$436-Tabell2[[#This Row],[Kvinneandel-T]])*100/O$439</f>
        <v>42.654387455029543</v>
      </c>
      <c r="Y391" s="7">
        <f>(P$436-Tabell2[[#This Row],[Eldreandel-T]])*100/P$439</f>
        <v>42.906752864175616</v>
      </c>
      <c r="Z391" s="7">
        <f>100-(Q$436-Tabell2[[#This Row],[Sysselsettingsvekst10-T]])*100/Q$439</f>
        <v>0</v>
      </c>
      <c r="AA391" s="7">
        <f>100-(R$436-Tabell2[[#This Row],[Yrkesaktivandel-T]])*100/R$439</f>
        <v>8.2383137521755003</v>
      </c>
      <c r="AB391" s="7">
        <f>100-(S$436-Tabell2[[#This Row],[Inntekt-T]])*100/S$439</f>
        <v>6.9654051543992068E-2</v>
      </c>
      <c r="AC391" s="55">
        <f>Tabell2[[#This Row],[NIBR11-I]]*Vekter!$B$3</f>
        <v>12</v>
      </c>
      <c r="AD391" s="55">
        <f>Tabell2[[#This Row],[ReisetidOslo-I]]*Vekter!$C$3</f>
        <v>1.4503839122495046</v>
      </c>
      <c r="AE391" s="55">
        <f>Tabell2[[#This Row],[Beftettotal-I]]*Vekter!$D$3</f>
        <v>0.36135365879290476</v>
      </c>
      <c r="AF391" s="55">
        <f>Tabell2[[#This Row],[Befvekst10-I]]*Vekter!$E$3</f>
        <v>6.2407248403119384</v>
      </c>
      <c r="AG391" s="55">
        <f>Tabell2[[#This Row],[Kvinneandel-I]]*Vekter!$F$3</f>
        <v>2.132719372751477</v>
      </c>
      <c r="AH391" s="55">
        <f>Tabell2[[#This Row],[Eldreandel-I]]*Vekter!$G$3</f>
        <v>2.145337643208781</v>
      </c>
      <c r="AI391" s="55">
        <f>Tabell2[[#This Row],[Sysselsettingsvekst10-I]]*Vekter!$H$3</f>
        <v>0</v>
      </c>
      <c r="AJ391" s="55">
        <f>Tabell2[[#This Row],[Yrkesaktivandel-I]]*Vekter!$J$3</f>
        <v>0.82383137521755012</v>
      </c>
      <c r="AK391" s="55">
        <f>Tabell2[[#This Row],[Inntekt-I]]*Vekter!$L$3</f>
        <v>6.965405154399207E-3</v>
      </c>
      <c r="AL391" s="56">
        <f>SUM(Tabell2[[#This Row],[NIBR11-v]:[Inntekt-v]])</f>
        <v>25.161316207686557</v>
      </c>
    </row>
    <row r="392" spans="1:38" x14ac:dyDescent="0.25">
      <c r="A392" s="2" t="s">
        <v>389</v>
      </c>
      <c r="B392">
        <f>'Rådata-K'!M391</f>
        <v>5</v>
      </c>
      <c r="C392" s="7">
        <f>'Rådata-K'!L391</f>
        <v>212.48333333329998</v>
      </c>
      <c r="D392" s="34">
        <f>'Rådata-K'!N391</f>
        <v>6.0363636363636362</v>
      </c>
      <c r="E392" s="34">
        <f>'Rådata-K'!O391</f>
        <v>1.1509817197020933E-2</v>
      </c>
      <c r="F392" s="34">
        <f>'Rådata-K'!P391</f>
        <v>9.9732262382864798E-2</v>
      </c>
      <c r="G392" s="34">
        <f>'Rådata-K'!Q391</f>
        <v>0.19745649263721554</v>
      </c>
      <c r="H392" s="34">
        <f>'Rådata-K'!R391</f>
        <v>-3.4800409416581357E-2</v>
      </c>
      <c r="I392" s="34">
        <f>'Rådata-K'!S391</f>
        <v>0.85424133811230585</v>
      </c>
      <c r="J392" s="22">
        <f>'Rådata-K'!K391</f>
        <v>347800</v>
      </c>
      <c r="K392" s="22">
        <f>Tabell2[[#This Row],[NIBR11]]</f>
        <v>5</v>
      </c>
      <c r="L392" s="32">
        <f>IF(Tabell2[[#This Row],[ReisetidOslo]]&lt;=C$434,C$434,IF(Tabell2[[#This Row],[ReisetidOslo]]&gt;=C$435,C$435,Tabell2[[#This Row],[ReisetidOslo]]))</f>
        <v>212.48333333329998</v>
      </c>
      <c r="M392" s="32">
        <f>IF(Tabell2[[#This Row],[Beftettotal]]&lt;=D$434,D$434,IF(Tabell2[[#This Row],[Beftettotal]]&gt;=D$435,D$435,Tabell2[[#This Row],[Beftettotal]]))</f>
        <v>6.0363636363636362</v>
      </c>
      <c r="N392" s="34">
        <f>IF(Tabell2[[#This Row],[Befvekst10]]&lt;=E$434,E$434,IF(Tabell2[[#This Row],[Befvekst10]]&gt;=E$435,E$435,Tabell2[[#This Row],[Befvekst10]]))</f>
        <v>1.1509817197020933E-2</v>
      </c>
      <c r="O392" s="34">
        <f>IF(Tabell2[[#This Row],[Kvinneandel]]&lt;=F$434,F$434,IF(Tabell2[[#This Row],[Kvinneandel]]&gt;=F$435,F$435,Tabell2[[#This Row],[Kvinneandel]]))</f>
        <v>9.9732262382864798E-2</v>
      </c>
      <c r="P392" s="34">
        <f>IF(Tabell2[[#This Row],[Eldreandel]]&lt;=G$434,G$434,IF(Tabell2[[#This Row],[Eldreandel]]&gt;=G$435,G$435,Tabell2[[#This Row],[Eldreandel]]))</f>
        <v>0.19745649263721554</v>
      </c>
      <c r="Q392" s="34">
        <f>IF(Tabell2[[#This Row],[Sysselsettingsvekst10]]&lt;=H$434,H$434,IF(Tabell2[[#This Row],[Sysselsettingsvekst10]]&gt;=H$435,H$435,Tabell2[[#This Row],[Sysselsettingsvekst10]]))</f>
        <v>-3.4800409416581357E-2</v>
      </c>
      <c r="R392" s="34">
        <f>IF(Tabell2[[#This Row],[Yrkesaktivandel]]&lt;=I$434,I$434,IF(Tabell2[[#This Row],[Yrkesaktivandel]]&gt;=I$435,I$435,Tabell2[[#This Row],[Yrkesaktivandel]]))</f>
        <v>0.85424133811230585</v>
      </c>
      <c r="S392" s="22">
        <f>IF(Tabell2[[#This Row],[Inntekt]]&lt;=J$434,J$434,IF(Tabell2[[#This Row],[Inntekt]]&gt;=J$435,J$435,Tabell2[[#This Row],[Inntekt]]))</f>
        <v>347800</v>
      </c>
      <c r="T392" s="22">
        <f>IF(Tabell2[[#This Row],[NIBR11-T]]&lt;=K$437,100,IF(Tabell2[[#This Row],[NIBR11-T]]&gt;=K$436,0,100*(K$436-Tabell2[[#This Row],[NIBR11-T]])/K$439))</f>
        <v>60</v>
      </c>
      <c r="U392" s="7">
        <f>IF(Tabell2[[#This Row],[ReisetidOslo-T]]&lt;=L$437,100,IF(Tabell2[[#This Row],[ReisetidOslo-T]]&gt;=L$436,0,100*(L$436-Tabell2[[#This Row],[ReisetidOslo-T]])/L$439))</f>
        <v>29.823765996365513</v>
      </c>
      <c r="V392" s="7">
        <f>100-(M$436-Tabell2[[#This Row],[Beftettotal-T]])*100/M$439</f>
        <v>3.640881665634538</v>
      </c>
      <c r="W392" s="7">
        <f>100-(N$436-Tabell2[[#This Row],[Befvekst10-T]])*100/N$439</f>
        <v>35.313630990729976</v>
      </c>
      <c r="X392" s="7">
        <f>100-(O$436-Tabell2[[#This Row],[Kvinneandel-T]])*100/O$439</f>
        <v>24.421986148737432</v>
      </c>
      <c r="Y392" s="7">
        <f>(P$436-Tabell2[[#This Row],[Eldreandel-T]])*100/P$439</f>
        <v>18.549365901315081</v>
      </c>
      <c r="Z392" s="7">
        <f>100-(Q$436-Tabell2[[#This Row],[Sysselsettingsvekst10-T]])*100/Q$439</f>
        <v>10.394017227226499</v>
      </c>
      <c r="AA392" s="7">
        <f>100-(R$436-Tabell2[[#This Row],[Yrkesaktivandel-T]])*100/R$439</f>
        <v>17.119997348987937</v>
      </c>
      <c r="AB392" s="7">
        <f>100-(S$436-Tabell2[[#This Row],[Inntekt-T]])*100/S$439</f>
        <v>18.760157882516836</v>
      </c>
      <c r="AC392" s="55">
        <f>Tabell2[[#This Row],[NIBR11-I]]*Vekter!$B$3</f>
        <v>12</v>
      </c>
      <c r="AD392" s="55">
        <f>Tabell2[[#This Row],[ReisetidOslo-I]]*Vekter!$C$3</f>
        <v>2.9823765996365514</v>
      </c>
      <c r="AE392" s="55">
        <f>Tabell2[[#This Row],[Beftettotal-I]]*Vekter!$D$3</f>
        <v>0.36408816656345383</v>
      </c>
      <c r="AF392" s="55">
        <f>Tabell2[[#This Row],[Befvekst10-I]]*Vekter!$E$3</f>
        <v>7.0627261981459952</v>
      </c>
      <c r="AG392" s="55">
        <f>Tabell2[[#This Row],[Kvinneandel-I]]*Vekter!$F$3</f>
        <v>1.2210993074368717</v>
      </c>
      <c r="AH392" s="55">
        <f>Tabell2[[#This Row],[Eldreandel-I]]*Vekter!$G$3</f>
        <v>0.92746829506575412</v>
      </c>
      <c r="AI392" s="55">
        <f>Tabell2[[#This Row],[Sysselsettingsvekst10-I]]*Vekter!$H$3</f>
        <v>1.03940172272265</v>
      </c>
      <c r="AJ392" s="55">
        <f>Tabell2[[#This Row],[Yrkesaktivandel-I]]*Vekter!$J$3</f>
        <v>1.7119997348987939</v>
      </c>
      <c r="AK392" s="55">
        <f>Tabell2[[#This Row],[Inntekt-I]]*Vekter!$L$3</f>
        <v>1.8760157882516837</v>
      </c>
      <c r="AL392" s="56">
        <f>SUM(Tabell2[[#This Row],[NIBR11-v]:[Inntekt-v]])</f>
        <v>29.185175812721759</v>
      </c>
    </row>
    <row r="393" spans="1:38" x14ac:dyDescent="0.25">
      <c r="A393" s="2" t="s">
        <v>390</v>
      </c>
      <c r="B393">
        <f>'Rådata-K'!M392</f>
        <v>11</v>
      </c>
      <c r="C393" s="7">
        <f>'Rådata-K'!L392</f>
        <v>292.56666666670003</v>
      </c>
      <c r="D393" s="34">
        <f>'Rådata-K'!N392</f>
        <v>5.8491661826931054</v>
      </c>
      <c r="E393" s="34">
        <f>'Rådata-K'!O392</f>
        <v>-0.14493632504548215</v>
      </c>
      <c r="F393" s="34">
        <f>'Rådata-K'!P392</f>
        <v>8.2978723404255314E-2</v>
      </c>
      <c r="G393" s="34">
        <f>'Rådata-K'!Q392</f>
        <v>0.2602836879432624</v>
      </c>
      <c r="H393" s="34">
        <f>'Rådata-K'!R392</f>
        <v>2.280701754385972E-2</v>
      </c>
      <c r="I393" s="34">
        <f>'Rådata-K'!S392</f>
        <v>0.91034482758620694</v>
      </c>
      <c r="J393" s="22">
        <f>'Rådata-K'!K392</f>
        <v>346800</v>
      </c>
      <c r="K393" s="22">
        <f>Tabell2[[#This Row],[NIBR11]]</f>
        <v>11</v>
      </c>
      <c r="L393" s="32">
        <f>IF(Tabell2[[#This Row],[ReisetidOslo]]&lt;=C$434,C$434,IF(Tabell2[[#This Row],[ReisetidOslo]]&gt;=C$435,C$435,Tabell2[[#This Row],[ReisetidOslo]]))</f>
        <v>280.45666666669001</v>
      </c>
      <c r="M393" s="32">
        <f>IF(Tabell2[[#This Row],[Beftettotal]]&lt;=D$434,D$434,IF(Tabell2[[#This Row],[Beftettotal]]&gt;=D$435,D$435,Tabell2[[#This Row],[Beftettotal]]))</f>
        <v>5.8491661826931054</v>
      </c>
      <c r="N393" s="34">
        <f>IF(Tabell2[[#This Row],[Befvekst10]]&lt;=E$434,E$434,IF(Tabell2[[#This Row],[Befvekst10]]&gt;=E$435,E$435,Tabell2[[#This Row],[Befvekst10]]))</f>
        <v>-7.6196156394963507E-2</v>
      </c>
      <c r="O393" s="34">
        <f>IF(Tabell2[[#This Row],[Kvinneandel]]&lt;=F$434,F$434,IF(Tabell2[[#This Row],[Kvinneandel]]&gt;=F$435,F$435,Tabell2[[#This Row],[Kvinneandel]]))</f>
        <v>9.0490197137593403E-2</v>
      </c>
      <c r="P393" s="34">
        <f>IF(Tabell2[[#This Row],[Eldreandel]]&lt;=G$434,G$434,IF(Tabell2[[#This Row],[Eldreandel]]&gt;=G$435,G$435,Tabell2[[#This Row],[Eldreandel]]))</f>
        <v>0.21438492803547596</v>
      </c>
      <c r="Q393" s="34">
        <f>IF(Tabell2[[#This Row],[Sysselsettingsvekst10]]&lt;=H$434,H$434,IF(Tabell2[[#This Row],[Sysselsettingsvekst10]]&gt;=H$435,H$435,Tabell2[[#This Row],[Sysselsettingsvekst10]]))</f>
        <v>2.280701754385972E-2</v>
      </c>
      <c r="R393" s="34">
        <f>IF(Tabell2[[#This Row],[Yrkesaktivandel]]&lt;=I$434,I$434,IF(Tabell2[[#This Row],[Yrkesaktivandel]]&gt;=I$435,I$435,Tabell2[[#This Row],[Yrkesaktivandel]]))</f>
        <v>0.91034482758620694</v>
      </c>
      <c r="S393" s="22">
        <f>IF(Tabell2[[#This Row],[Inntekt]]&lt;=J$434,J$434,IF(Tabell2[[#This Row],[Inntekt]]&gt;=J$435,J$435,Tabell2[[#This Row],[Inntekt]]))</f>
        <v>346800</v>
      </c>
      <c r="T393" s="22">
        <f>IF(Tabell2[[#This Row],[NIBR11-T]]&lt;=K$437,100,IF(Tabell2[[#This Row],[NIBR11-T]]&gt;=K$436,0,100*(K$436-Tabell2[[#This Row],[NIBR11-T]])/K$439))</f>
        <v>0</v>
      </c>
      <c r="U393" s="7">
        <f>IF(Tabell2[[#This Row],[ReisetidOslo-T]]&lt;=L$437,100,IF(Tabell2[[#This Row],[ReisetidOslo-T]]&gt;=L$436,0,100*(L$436-Tabell2[[#This Row],[ReisetidOslo-T]])/L$439))</f>
        <v>0</v>
      </c>
      <c r="V393" s="7">
        <f>100-(M$436-Tabell2[[#This Row],[Beftettotal-T]])*100/M$439</f>
        <v>3.4960711854505746</v>
      </c>
      <c r="W393" s="7">
        <f>100-(N$436-Tabell2[[#This Row],[Befvekst10-T]])*100/N$439</f>
        <v>0</v>
      </c>
      <c r="X393" s="7">
        <f>100-(O$436-Tabell2[[#This Row],[Kvinneandel-T]])*100/O$439</f>
        <v>0</v>
      </c>
      <c r="Y393" s="7">
        <f>(P$436-Tabell2[[#This Row],[Eldreandel-T]])*100/P$439</f>
        <v>0</v>
      </c>
      <c r="Z393" s="7">
        <f>100-(Q$436-Tabell2[[#This Row],[Sysselsettingsvekst10-T]])*100/Q$439</f>
        <v>27.534583160952735</v>
      </c>
      <c r="AA393" s="7">
        <f>100-(R$436-Tabell2[[#This Row],[Yrkesaktivandel-T]])*100/R$439</f>
        <v>60.257507479944444</v>
      </c>
      <c r="AB393" s="7">
        <f>100-(S$436-Tabell2[[#This Row],[Inntekt-T]])*100/S$439</f>
        <v>17.599257023450193</v>
      </c>
      <c r="AC393" s="55">
        <f>Tabell2[[#This Row],[NIBR11-I]]*Vekter!$B$3</f>
        <v>0</v>
      </c>
      <c r="AD393" s="55">
        <f>Tabell2[[#This Row],[ReisetidOslo-I]]*Vekter!$C$3</f>
        <v>0</v>
      </c>
      <c r="AE393" s="55">
        <f>Tabell2[[#This Row],[Beftettotal-I]]*Vekter!$D$3</f>
        <v>0.34960711854505749</v>
      </c>
      <c r="AF393" s="55">
        <f>Tabell2[[#This Row],[Befvekst10-I]]*Vekter!$E$3</f>
        <v>0</v>
      </c>
      <c r="AG393" s="55">
        <f>Tabell2[[#This Row],[Kvinneandel-I]]*Vekter!$F$3</f>
        <v>0</v>
      </c>
      <c r="AH393" s="55">
        <f>Tabell2[[#This Row],[Eldreandel-I]]*Vekter!$G$3</f>
        <v>0</v>
      </c>
      <c r="AI393" s="55">
        <f>Tabell2[[#This Row],[Sysselsettingsvekst10-I]]*Vekter!$H$3</f>
        <v>2.7534583160952737</v>
      </c>
      <c r="AJ393" s="55">
        <f>Tabell2[[#This Row],[Yrkesaktivandel-I]]*Vekter!$J$3</f>
        <v>6.0257507479944445</v>
      </c>
      <c r="AK393" s="55">
        <f>Tabell2[[#This Row],[Inntekt-I]]*Vekter!$L$3</f>
        <v>1.7599257023450194</v>
      </c>
      <c r="AL393" s="56">
        <f>SUM(Tabell2[[#This Row],[NIBR11-v]:[Inntekt-v]])</f>
        <v>10.888741884979794</v>
      </c>
    </row>
    <row r="394" spans="1:38" x14ac:dyDescent="0.25">
      <c r="A394" s="2" t="s">
        <v>391</v>
      </c>
      <c r="B394">
        <f>'Rådata-K'!M393</f>
        <v>5</v>
      </c>
      <c r="C394" s="7">
        <f>'Rådata-K'!L393</f>
        <v>251.75</v>
      </c>
      <c r="D394" s="34">
        <f>'Rådata-K'!N393</f>
        <v>3.635607853168767</v>
      </c>
      <c r="E394" s="34">
        <f>'Rådata-K'!O393</f>
        <v>-0.10331230283911674</v>
      </c>
      <c r="F394" s="34">
        <f>'Rådata-K'!P393</f>
        <v>8.9709762532981532E-2</v>
      </c>
      <c r="G394" s="34">
        <f>'Rådata-K'!Q393</f>
        <v>0.23218997361477572</v>
      </c>
      <c r="H394" s="34">
        <f>'Rådata-K'!R393</f>
        <v>1.980198019801982E-2</v>
      </c>
      <c r="I394" s="34">
        <f>'Rådata-K'!S393</f>
        <v>0.83224755700325737</v>
      </c>
      <c r="J394" s="22">
        <f>'Rådata-K'!K393</f>
        <v>325800</v>
      </c>
      <c r="K394" s="22">
        <f>Tabell2[[#This Row],[NIBR11]]</f>
        <v>5</v>
      </c>
      <c r="L394" s="32">
        <f>IF(Tabell2[[#This Row],[ReisetidOslo]]&lt;=C$434,C$434,IF(Tabell2[[#This Row],[ReisetidOslo]]&gt;=C$435,C$435,Tabell2[[#This Row],[ReisetidOslo]]))</f>
        <v>251.75</v>
      </c>
      <c r="M394" s="32">
        <f>IF(Tabell2[[#This Row],[Beftettotal]]&lt;=D$434,D$434,IF(Tabell2[[#This Row],[Beftettotal]]&gt;=D$435,D$435,Tabell2[[#This Row],[Beftettotal]]))</f>
        <v>3.635607853168767</v>
      </c>
      <c r="N394" s="34">
        <f>IF(Tabell2[[#This Row],[Befvekst10]]&lt;=E$434,E$434,IF(Tabell2[[#This Row],[Befvekst10]]&gt;=E$435,E$435,Tabell2[[#This Row],[Befvekst10]]))</f>
        <v>-7.6196156394963507E-2</v>
      </c>
      <c r="O394" s="34">
        <f>IF(Tabell2[[#This Row],[Kvinneandel]]&lt;=F$434,F$434,IF(Tabell2[[#This Row],[Kvinneandel]]&gt;=F$435,F$435,Tabell2[[#This Row],[Kvinneandel]]))</f>
        <v>9.0490197137593403E-2</v>
      </c>
      <c r="P394" s="34">
        <f>IF(Tabell2[[#This Row],[Eldreandel]]&lt;=G$434,G$434,IF(Tabell2[[#This Row],[Eldreandel]]&gt;=G$435,G$435,Tabell2[[#This Row],[Eldreandel]]))</f>
        <v>0.21438492803547596</v>
      </c>
      <c r="Q394" s="34">
        <f>IF(Tabell2[[#This Row],[Sysselsettingsvekst10]]&lt;=H$434,H$434,IF(Tabell2[[#This Row],[Sysselsettingsvekst10]]&gt;=H$435,H$435,Tabell2[[#This Row],[Sysselsettingsvekst10]]))</f>
        <v>1.980198019801982E-2</v>
      </c>
      <c r="R394" s="34">
        <f>IF(Tabell2[[#This Row],[Yrkesaktivandel]]&lt;=I$434,I$434,IF(Tabell2[[#This Row],[Yrkesaktivandel]]&gt;=I$435,I$435,Tabell2[[#This Row],[Yrkesaktivandel]]))</f>
        <v>0.83224755700325737</v>
      </c>
      <c r="S394" s="22">
        <f>IF(Tabell2[[#This Row],[Inntekt]]&lt;=J$434,J$434,IF(Tabell2[[#This Row],[Inntekt]]&gt;=J$435,J$435,Tabell2[[#This Row],[Inntekt]]))</f>
        <v>331640</v>
      </c>
      <c r="T394" s="22">
        <f>IF(Tabell2[[#This Row],[NIBR11-T]]&lt;=K$437,100,IF(Tabell2[[#This Row],[NIBR11-T]]&gt;=K$436,0,100*(K$436-Tabell2[[#This Row],[NIBR11-T]])/K$439))</f>
        <v>60</v>
      </c>
      <c r="U394" s="7">
        <f>IF(Tabell2[[#This Row],[ReisetidOslo-T]]&lt;=L$437,100,IF(Tabell2[[#This Row],[ReisetidOslo-T]]&gt;=L$436,0,100*(L$436-Tabell2[[#This Row],[ReisetidOslo-T]])/L$439))</f>
        <v>12.595246800740213</v>
      </c>
      <c r="V394" s="7">
        <f>100-(M$436-Tabell2[[#This Row],[Beftettotal-T]])*100/M$439</f>
        <v>1.7837271426847536</v>
      </c>
      <c r="W394" s="7">
        <f>100-(N$436-Tabell2[[#This Row],[Befvekst10-T]])*100/N$439</f>
        <v>0</v>
      </c>
      <c r="X394" s="7">
        <f>100-(O$436-Tabell2[[#This Row],[Kvinneandel-T]])*100/O$439</f>
        <v>0</v>
      </c>
      <c r="Y394" s="7">
        <f>(P$436-Tabell2[[#This Row],[Eldreandel-T]])*100/P$439</f>
        <v>0</v>
      </c>
      <c r="Z394" s="7">
        <f>100-(Q$436-Tabell2[[#This Row],[Sysselsettingsvekst10-T]])*100/Q$439</f>
        <v>26.640461630493675</v>
      </c>
      <c r="AA394" s="7">
        <f>100-(R$436-Tabell2[[#This Row],[Yrkesaktivandel-T]])*100/R$439</f>
        <v>0.20916053105752042</v>
      </c>
      <c r="AB394" s="7">
        <f>100-(S$436-Tabell2[[#This Row],[Inntekt-T]])*100/S$439</f>
        <v>0</v>
      </c>
      <c r="AC394" s="55">
        <f>Tabell2[[#This Row],[NIBR11-I]]*Vekter!$B$3</f>
        <v>12</v>
      </c>
      <c r="AD394" s="55">
        <f>Tabell2[[#This Row],[ReisetidOslo-I]]*Vekter!$C$3</f>
        <v>1.2595246800740214</v>
      </c>
      <c r="AE394" s="55">
        <f>Tabell2[[#This Row],[Beftettotal-I]]*Vekter!$D$3</f>
        <v>0.17837271426847537</v>
      </c>
      <c r="AF394" s="55">
        <f>Tabell2[[#This Row],[Befvekst10-I]]*Vekter!$E$3</f>
        <v>0</v>
      </c>
      <c r="AG394" s="55">
        <f>Tabell2[[#This Row],[Kvinneandel-I]]*Vekter!$F$3</f>
        <v>0</v>
      </c>
      <c r="AH394" s="55">
        <f>Tabell2[[#This Row],[Eldreandel-I]]*Vekter!$G$3</f>
        <v>0</v>
      </c>
      <c r="AI394" s="55">
        <f>Tabell2[[#This Row],[Sysselsettingsvekst10-I]]*Vekter!$H$3</f>
        <v>2.6640461630493677</v>
      </c>
      <c r="AJ394" s="55">
        <f>Tabell2[[#This Row],[Yrkesaktivandel-I]]*Vekter!$J$3</f>
        <v>2.0916053105752043E-2</v>
      </c>
      <c r="AK394" s="55">
        <f>Tabell2[[#This Row],[Inntekt-I]]*Vekter!$L$3</f>
        <v>0</v>
      </c>
      <c r="AL394" s="56">
        <f>SUM(Tabell2[[#This Row],[NIBR11-v]:[Inntekt-v]])</f>
        <v>16.122859610497613</v>
      </c>
    </row>
    <row r="395" spans="1:38" x14ac:dyDescent="0.25">
      <c r="A395" s="2" t="s">
        <v>392</v>
      </c>
      <c r="B395">
        <f>'Rådata-K'!M394</f>
        <v>11</v>
      </c>
      <c r="C395" s="7">
        <f>'Rådata-K'!L394</f>
        <v>262.53333333329999</v>
      </c>
      <c r="D395" s="34">
        <f>'Rådata-K'!N394</f>
        <v>3.3417318658002917</v>
      </c>
      <c r="E395" s="34">
        <f>'Rådata-K'!O394</f>
        <v>-2.0408163265306145E-2</v>
      </c>
      <c r="F395" s="34">
        <f>'Rådata-K'!P394</f>
        <v>9.4246031746031744E-2</v>
      </c>
      <c r="G395" s="34">
        <f>'Rådata-K'!Q394</f>
        <v>0.2123015873015873</v>
      </c>
      <c r="H395" s="34">
        <f>'Rådata-K'!R394</f>
        <v>0.11143695014662747</v>
      </c>
      <c r="I395" s="34">
        <f>'Rådata-K'!S394</f>
        <v>0.87814313346228234</v>
      </c>
      <c r="J395" s="22">
        <f>'Rådata-K'!K394</f>
        <v>321600</v>
      </c>
      <c r="K395" s="22">
        <f>Tabell2[[#This Row],[NIBR11]]</f>
        <v>11</v>
      </c>
      <c r="L395" s="32">
        <f>IF(Tabell2[[#This Row],[ReisetidOslo]]&lt;=C$434,C$434,IF(Tabell2[[#This Row],[ReisetidOslo]]&gt;=C$435,C$435,Tabell2[[#This Row],[ReisetidOslo]]))</f>
        <v>262.53333333329999</v>
      </c>
      <c r="M395" s="32">
        <f>IF(Tabell2[[#This Row],[Beftettotal]]&lt;=D$434,D$434,IF(Tabell2[[#This Row],[Beftettotal]]&gt;=D$435,D$435,Tabell2[[#This Row],[Beftettotal]]))</f>
        <v>3.3417318658002917</v>
      </c>
      <c r="N395" s="34">
        <f>IF(Tabell2[[#This Row],[Befvekst10]]&lt;=E$434,E$434,IF(Tabell2[[#This Row],[Befvekst10]]&gt;=E$435,E$435,Tabell2[[#This Row],[Befvekst10]]))</f>
        <v>-2.0408163265306145E-2</v>
      </c>
      <c r="O395" s="34">
        <f>IF(Tabell2[[#This Row],[Kvinneandel]]&lt;=F$434,F$434,IF(Tabell2[[#This Row],[Kvinneandel]]&gt;=F$435,F$435,Tabell2[[#This Row],[Kvinneandel]]))</f>
        <v>9.4246031746031744E-2</v>
      </c>
      <c r="P395" s="34">
        <f>IF(Tabell2[[#This Row],[Eldreandel]]&lt;=G$434,G$434,IF(Tabell2[[#This Row],[Eldreandel]]&gt;=G$435,G$435,Tabell2[[#This Row],[Eldreandel]]))</f>
        <v>0.2123015873015873</v>
      </c>
      <c r="Q395" s="34">
        <f>IF(Tabell2[[#This Row],[Sysselsettingsvekst10]]&lt;=H$434,H$434,IF(Tabell2[[#This Row],[Sysselsettingsvekst10]]&gt;=H$435,H$435,Tabell2[[#This Row],[Sysselsettingsvekst10]]))</f>
        <v>0.11143695014662747</v>
      </c>
      <c r="R395" s="34">
        <f>IF(Tabell2[[#This Row],[Yrkesaktivandel]]&lt;=I$434,I$434,IF(Tabell2[[#This Row],[Yrkesaktivandel]]&gt;=I$435,I$435,Tabell2[[#This Row],[Yrkesaktivandel]]))</f>
        <v>0.87814313346228234</v>
      </c>
      <c r="S395" s="22">
        <f>IF(Tabell2[[#This Row],[Inntekt]]&lt;=J$434,J$434,IF(Tabell2[[#This Row],[Inntekt]]&gt;=J$435,J$435,Tabell2[[#This Row],[Inntekt]]))</f>
        <v>331640</v>
      </c>
      <c r="T395" s="22">
        <f>IF(Tabell2[[#This Row],[NIBR11-T]]&lt;=K$437,100,IF(Tabell2[[#This Row],[NIBR11-T]]&gt;=K$436,0,100*(K$436-Tabell2[[#This Row],[NIBR11-T]])/K$439))</f>
        <v>0</v>
      </c>
      <c r="U395" s="7">
        <f>IF(Tabell2[[#This Row],[ReisetidOslo-T]]&lt;=L$437,100,IF(Tabell2[[#This Row],[ReisetidOslo-T]]&gt;=L$436,0,100*(L$436-Tabell2[[#This Row],[ReisetidOslo-T]])/L$439))</f>
        <v>7.8639853747955462</v>
      </c>
      <c r="V395" s="7">
        <f>100-(M$436-Tabell2[[#This Row],[Beftettotal-T]])*100/M$439</f>
        <v>1.5563932660163999</v>
      </c>
      <c r="W395" s="7">
        <f>100-(N$436-Tabell2[[#This Row],[Befvekst10-T]])*100/N$439</f>
        <v>22.462285320029181</v>
      </c>
      <c r="X395" s="7">
        <f>100-(O$436-Tabell2[[#This Row],[Kvinneandel-T]])*100/O$439</f>
        <v>9.9247233545727198</v>
      </c>
      <c r="Y395" s="7">
        <f>(P$436-Tabell2[[#This Row],[Eldreandel-T]])*100/P$439</f>
        <v>2.2828246474559744</v>
      </c>
      <c r="Z395" s="7">
        <f>100-(Q$436-Tabell2[[#This Row],[Sysselsettingsvekst10-T]])*100/Q$439</f>
        <v>53.905613488737771</v>
      </c>
      <c r="AA395" s="7">
        <f>100-(R$436-Tabell2[[#This Row],[Yrkesaktivandel-T]])*100/R$439</f>
        <v>35.497890573210697</v>
      </c>
      <c r="AB395" s="7">
        <f>100-(S$436-Tabell2[[#This Row],[Inntekt-T]])*100/S$439</f>
        <v>0</v>
      </c>
      <c r="AC395" s="55">
        <f>Tabell2[[#This Row],[NIBR11-I]]*Vekter!$B$3</f>
        <v>0</v>
      </c>
      <c r="AD395" s="55">
        <f>Tabell2[[#This Row],[ReisetidOslo-I]]*Vekter!$C$3</f>
        <v>0.78639853747955468</v>
      </c>
      <c r="AE395" s="55">
        <f>Tabell2[[#This Row],[Beftettotal-I]]*Vekter!$D$3</f>
        <v>0.15563932660164001</v>
      </c>
      <c r="AF395" s="55">
        <f>Tabell2[[#This Row],[Befvekst10-I]]*Vekter!$E$3</f>
        <v>4.4924570640058361</v>
      </c>
      <c r="AG395" s="55">
        <f>Tabell2[[#This Row],[Kvinneandel-I]]*Vekter!$F$3</f>
        <v>0.49623616772863599</v>
      </c>
      <c r="AH395" s="55">
        <f>Tabell2[[#This Row],[Eldreandel-I]]*Vekter!$G$3</f>
        <v>0.11414123237279872</v>
      </c>
      <c r="AI395" s="55">
        <f>Tabell2[[#This Row],[Sysselsettingsvekst10-I]]*Vekter!$H$3</f>
        <v>5.3905613488737778</v>
      </c>
      <c r="AJ395" s="55">
        <f>Tabell2[[#This Row],[Yrkesaktivandel-I]]*Vekter!$J$3</f>
        <v>3.5497890573210698</v>
      </c>
      <c r="AK395" s="55">
        <f>Tabell2[[#This Row],[Inntekt-I]]*Vekter!$L$3</f>
        <v>0</v>
      </c>
      <c r="AL395" s="56">
        <f>SUM(Tabell2[[#This Row],[NIBR11-v]:[Inntekt-v]])</f>
        <v>14.985222734383312</v>
      </c>
    </row>
    <row r="396" spans="1:38" x14ac:dyDescent="0.25">
      <c r="A396" s="2" t="s">
        <v>393</v>
      </c>
      <c r="B396">
        <f>'Rådata-K'!M395</f>
        <v>9</v>
      </c>
      <c r="C396" s="7">
        <f>'Rådata-K'!L395</f>
        <v>234.4333333333</v>
      </c>
      <c r="D396" s="34">
        <f>'Rådata-K'!N395</f>
        <v>1.5082030267615427</v>
      </c>
      <c r="E396" s="34">
        <f>'Rådata-K'!O395</f>
        <v>5.2658750645327768E-2</v>
      </c>
      <c r="F396" s="34">
        <f>'Rådata-K'!P395</f>
        <v>0.12849435998038253</v>
      </c>
      <c r="G396" s="34">
        <f>'Rådata-K'!Q395</f>
        <v>0.15620402157920549</v>
      </c>
      <c r="H396" s="34">
        <f>'Rådata-K'!R395</f>
        <v>8.9157952669234986E-2</v>
      </c>
      <c r="I396" s="34">
        <f>'Rådata-K'!S395</f>
        <v>0.91520467836257313</v>
      </c>
      <c r="J396" s="22">
        <f>'Rådata-K'!K395</f>
        <v>375100</v>
      </c>
      <c r="K396" s="22">
        <f>Tabell2[[#This Row],[NIBR11]]</f>
        <v>9</v>
      </c>
      <c r="L396" s="32">
        <f>IF(Tabell2[[#This Row],[ReisetidOslo]]&lt;=C$434,C$434,IF(Tabell2[[#This Row],[ReisetidOslo]]&gt;=C$435,C$435,Tabell2[[#This Row],[ReisetidOslo]]))</f>
        <v>234.4333333333</v>
      </c>
      <c r="M396" s="32">
        <f>IF(Tabell2[[#This Row],[Beftettotal]]&lt;=D$434,D$434,IF(Tabell2[[#This Row],[Beftettotal]]&gt;=D$435,D$435,Tabell2[[#This Row],[Beftettotal]]))</f>
        <v>1.5082030267615427</v>
      </c>
      <c r="N396" s="34">
        <f>IF(Tabell2[[#This Row],[Befvekst10]]&lt;=E$434,E$434,IF(Tabell2[[#This Row],[Befvekst10]]&gt;=E$435,E$435,Tabell2[[#This Row],[Befvekst10]]))</f>
        <v>5.2658750645327768E-2</v>
      </c>
      <c r="O396" s="34">
        <f>IF(Tabell2[[#This Row],[Kvinneandel]]&lt;=F$434,F$434,IF(Tabell2[[#This Row],[Kvinneandel]]&gt;=F$435,F$435,Tabell2[[#This Row],[Kvinneandel]]))</f>
        <v>0.12833341426573511</v>
      </c>
      <c r="P396" s="34">
        <f>IF(Tabell2[[#This Row],[Eldreandel]]&lt;=G$434,G$434,IF(Tabell2[[#This Row],[Eldreandel]]&gt;=G$435,G$435,Tabell2[[#This Row],[Eldreandel]]))</f>
        <v>0.15620402157920549</v>
      </c>
      <c r="Q396" s="34">
        <f>IF(Tabell2[[#This Row],[Sysselsettingsvekst10]]&lt;=H$434,H$434,IF(Tabell2[[#This Row],[Sysselsettingsvekst10]]&gt;=H$435,H$435,Tabell2[[#This Row],[Sysselsettingsvekst10]]))</f>
        <v>8.9157952669234986E-2</v>
      </c>
      <c r="R396" s="34">
        <f>IF(Tabell2[[#This Row],[Yrkesaktivandel]]&lt;=I$434,I$434,IF(Tabell2[[#This Row],[Yrkesaktivandel]]&gt;=I$435,I$435,Tabell2[[#This Row],[Yrkesaktivandel]]))</f>
        <v>0.91520467836257313</v>
      </c>
      <c r="S396" s="22">
        <f>IF(Tabell2[[#This Row],[Inntekt]]&lt;=J$434,J$434,IF(Tabell2[[#This Row],[Inntekt]]&gt;=J$435,J$435,Tabell2[[#This Row],[Inntekt]]))</f>
        <v>375100</v>
      </c>
      <c r="T396" s="22">
        <f>IF(Tabell2[[#This Row],[NIBR11-T]]&lt;=K$437,100,IF(Tabell2[[#This Row],[NIBR11-T]]&gt;=K$436,0,100*(K$436-Tabell2[[#This Row],[NIBR11-T]])/K$439))</f>
        <v>20</v>
      </c>
      <c r="U396" s="7">
        <f>IF(Tabell2[[#This Row],[ReisetidOslo-T]]&lt;=L$437,100,IF(Tabell2[[#This Row],[ReisetidOslo-T]]&gt;=L$436,0,100*(L$436-Tabell2[[#This Row],[ReisetidOslo-T]])/L$439))</f>
        <v>20.193053016476181</v>
      </c>
      <c r="V396" s="7">
        <f>100-(M$436-Tabell2[[#This Row],[Beftettotal-T]])*100/M$439</f>
        <v>0.13802893249464887</v>
      </c>
      <c r="W396" s="7">
        <f>100-(N$436-Tabell2[[#This Row],[Befvekst10-T]])*100/N$439</f>
        <v>51.881695763782275</v>
      </c>
      <c r="X396" s="7">
        <f>100-(O$436-Tabell2[[#This Row],[Kvinneandel-T]])*100/O$439</f>
        <v>100</v>
      </c>
      <c r="Y396" s="7">
        <f>(P$436-Tabell2[[#This Row],[Eldreandel-T]])*100/P$439</f>
        <v>63.75184102592538</v>
      </c>
      <c r="Z396" s="7">
        <f>100-(Q$436-Tabell2[[#This Row],[Sysselsettingsvekst10-T]])*100/Q$439</f>
        <v>47.27670042409423</v>
      </c>
      <c r="AA396" s="7">
        <f>100-(R$436-Tabell2[[#This Row],[Yrkesaktivandel-T]])*100/R$439</f>
        <v>63.994206641909344</v>
      </c>
      <c r="AB396" s="7">
        <f>100-(S$436-Tabell2[[#This Row],[Inntekt-T]])*100/S$439</f>
        <v>50.452751335035991</v>
      </c>
      <c r="AC396" s="55">
        <f>Tabell2[[#This Row],[NIBR11-I]]*Vekter!$B$3</f>
        <v>4</v>
      </c>
      <c r="AD396" s="55">
        <f>Tabell2[[#This Row],[ReisetidOslo-I]]*Vekter!$C$3</f>
        <v>2.0193053016476181</v>
      </c>
      <c r="AE396" s="55">
        <f>Tabell2[[#This Row],[Beftettotal-I]]*Vekter!$D$3</f>
        <v>1.3802893249464888E-2</v>
      </c>
      <c r="AF396" s="55">
        <f>Tabell2[[#This Row],[Befvekst10-I]]*Vekter!$E$3</f>
        <v>10.376339152756456</v>
      </c>
      <c r="AG396" s="55">
        <f>Tabell2[[#This Row],[Kvinneandel-I]]*Vekter!$F$3</f>
        <v>5</v>
      </c>
      <c r="AH396" s="55">
        <f>Tabell2[[#This Row],[Eldreandel-I]]*Vekter!$G$3</f>
        <v>3.187592051296269</v>
      </c>
      <c r="AI396" s="55">
        <f>Tabell2[[#This Row],[Sysselsettingsvekst10-I]]*Vekter!$H$3</f>
        <v>4.7276700424094233</v>
      </c>
      <c r="AJ396" s="55">
        <f>Tabell2[[#This Row],[Yrkesaktivandel-I]]*Vekter!$J$3</f>
        <v>6.3994206641909344</v>
      </c>
      <c r="AK396" s="55">
        <f>Tabell2[[#This Row],[Inntekt-I]]*Vekter!$L$3</f>
        <v>5.0452751335035995</v>
      </c>
      <c r="AL396" s="56">
        <f>SUM(Tabell2[[#This Row],[NIBR11-v]:[Inntekt-v]])</f>
        <v>40.769405239053768</v>
      </c>
    </row>
    <row r="397" spans="1:38" x14ac:dyDescent="0.25">
      <c r="A397" s="2" t="s">
        <v>394</v>
      </c>
      <c r="B397">
        <f>'Rådata-K'!M396</f>
        <v>11</v>
      </c>
      <c r="C397" s="7">
        <f>'Rådata-K'!L396</f>
        <v>257.8</v>
      </c>
      <c r="D397" s="34">
        <f>'Rådata-K'!N396</f>
        <v>4.8454013450956408</v>
      </c>
      <c r="E397" s="34">
        <f>'Rådata-K'!O396</f>
        <v>-1.1140819964349347E-2</v>
      </c>
      <c r="F397" s="34">
        <f>'Rådata-K'!P396</f>
        <v>9.0581342947273547E-2</v>
      </c>
      <c r="G397" s="34">
        <f>'Rådata-K'!Q396</f>
        <v>0.1793600721045516</v>
      </c>
      <c r="H397" s="34">
        <f>'Rådata-K'!R396</f>
        <v>0.10461192350956128</v>
      </c>
      <c r="I397" s="34">
        <f>'Rådata-K'!S396</f>
        <v>0.88196176226101408</v>
      </c>
      <c r="J397" s="22">
        <f>'Rådata-K'!K396</f>
        <v>317900</v>
      </c>
      <c r="K397" s="22">
        <f>Tabell2[[#This Row],[NIBR11]]</f>
        <v>11</v>
      </c>
      <c r="L397" s="32">
        <f>IF(Tabell2[[#This Row],[ReisetidOslo]]&lt;=C$434,C$434,IF(Tabell2[[#This Row],[ReisetidOslo]]&gt;=C$435,C$435,Tabell2[[#This Row],[ReisetidOslo]]))</f>
        <v>257.8</v>
      </c>
      <c r="M397" s="32">
        <f>IF(Tabell2[[#This Row],[Beftettotal]]&lt;=D$434,D$434,IF(Tabell2[[#This Row],[Beftettotal]]&gt;=D$435,D$435,Tabell2[[#This Row],[Beftettotal]]))</f>
        <v>4.8454013450956408</v>
      </c>
      <c r="N397" s="34">
        <f>IF(Tabell2[[#This Row],[Befvekst10]]&lt;=E$434,E$434,IF(Tabell2[[#This Row],[Befvekst10]]&gt;=E$435,E$435,Tabell2[[#This Row],[Befvekst10]]))</f>
        <v>-1.1140819964349347E-2</v>
      </c>
      <c r="O397" s="34">
        <f>IF(Tabell2[[#This Row],[Kvinneandel]]&lt;=F$434,F$434,IF(Tabell2[[#This Row],[Kvinneandel]]&gt;=F$435,F$435,Tabell2[[#This Row],[Kvinneandel]]))</f>
        <v>9.0581342947273547E-2</v>
      </c>
      <c r="P397" s="34">
        <f>IF(Tabell2[[#This Row],[Eldreandel]]&lt;=G$434,G$434,IF(Tabell2[[#This Row],[Eldreandel]]&gt;=G$435,G$435,Tabell2[[#This Row],[Eldreandel]]))</f>
        <v>0.1793600721045516</v>
      </c>
      <c r="Q397" s="34">
        <f>IF(Tabell2[[#This Row],[Sysselsettingsvekst10]]&lt;=H$434,H$434,IF(Tabell2[[#This Row],[Sysselsettingsvekst10]]&gt;=H$435,H$435,Tabell2[[#This Row],[Sysselsettingsvekst10]]))</f>
        <v>0.10461192350956128</v>
      </c>
      <c r="R397" s="34">
        <f>IF(Tabell2[[#This Row],[Yrkesaktivandel]]&lt;=I$434,I$434,IF(Tabell2[[#This Row],[Yrkesaktivandel]]&gt;=I$435,I$435,Tabell2[[#This Row],[Yrkesaktivandel]]))</f>
        <v>0.88196176226101408</v>
      </c>
      <c r="S397" s="22">
        <f>IF(Tabell2[[#This Row],[Inntekt]]&lt;=J$434,J$434,IF(Tabell2[[#This Row],[Inntekt]]&gt;=J$435,J$435,Tabell2[[#This Row],[Inntekt]]))</f>
        <v>331640</v>
      </c>
      <c r="T397" s="22">
        <f>IF(Tabell2[[#This Row],[NIBR11-T]]&lt;=K$437,100,IF(Tabell2[[#This Row],[NIBR11-T]]&gt;=K$436,0,100*(K$436-Tabell2[[#This Row],[NIBR11-T]])/K$439))</f>
        <v>0</v>
      </c>
      <c r="U397" s="7">
        <f>IF(Tabell2[[#This Row],[ReisetidOslo-T]]&lt;=L$437,100,IF(Tabell2[[#This Row],[ReisetidOslo-T]]&gt;=L$436,0,100*(L$436-Tabell2[[#This Row],[ReisetidOslo-T]])/L$439))</f>
        <v>9.9407678245064766</v>
      </c>
      <c r="V397" s="7">
        <f>100-(M$436-Tabell2[[#This Row],[Beftettotal-T]])*100/M$439</f>
        <v>2.7195880374473518</v>
      </c>
      <c r="W397" s="7">
        <f>100-(N$436-Tabell2[[#This Row],[Befvekst10-T]])*100/N$439</f>
        <v>26.193656493409677</v>
      </c>
      <c r="X397" s="7">
        <f>100-(O$436-Tabell2[[#This Row],[Kvinneandel-T]])*100/O$439</f>
        <v>0.24085111308457385</v>
      </c>
      <c r="Y397" s="7">
        <f>(P$436-Tabell2[[#This Row],[Eldreandel-T]])*100/P$439</f>
        <v>38.378553777647063</v>
      </c>
      <c r="Z397" s="7">
        <f>100-(Q$436-Tabell2[[#This Row],[Sysselsettingsvekst10-T]])*100/Q$439</f>
        <v>51.874888888723881</v>
      </c>
      <c r="AA397" s="7">
        <f>100-(R$436-Tabell2[[#This Row],[Yrkesaktivandel-T]])*100/R$439</f>
        <v>38.434002747985168</v>
      </c>
      <c r="AB397" s="7">
        <f>100-(S$436-Tabell2[[#This Row],[Inntekt-T]])*100/S$439</f>
        <v>0</v>
      </c>
      <c r="AC397" s="55">
        <f>Tabell2[[#This Row],[NIBR11-I]]*Vekter!$B$3</f>
        <v>0</v>
      </c>
      <c r="AD397" s="55">
        <f>Tabell2[[#This Row],[ReisetidOslo-I]]*Vekter!$C$3</f>
        <v>0.99407678245064768</v>
      </c>
      <c r="AE397" s="55">
        <f>Tabell2[[#This Row],[Beftettotal-I]]*Vekter!$D$3</f>
        <v>0.27195880374473519</v>
      </c>
      <c r="AF397" s="55">
        <f>Tabell2[[#This Row],[Befvekst10-I]]*Vekter!$E$3</f>
        <v>5.2387312986819357</v>
      </c>
      <c r="AG397" s="55">
        <f>Tabell2[[#This Row],[Kvinneandel-I]]*Vekter!$F$3</f>
        <v>1.2042555654228694E-2</v>
      </c>
      <c r="AH397" s="55">
        <f>Tabell2[[#This Row],[Eldreandel-I]]*Vekter!$G$3</f>
        <v>1.9189276888823532</v>
      </c>
      <c r="AI397" s="55">
        <f>Tabell2[[#This Row],[Sysselsettingsvekst10-I]]*Vekter!$H$3</f>
        <v>5.1874888888723882</v>
      </c>
      <c r="AJ397" s="55">
        <f>Tabell2[[#This Row],[Yrkesaktivandel-I]]*Vekter!$J$3</f>
        <v>3.8434002747985172</v>
      </c>
      <c r="AK397" s="55">
        <f>Tabell2[[#This Row],[Inntekt-I]]*Vekter!$L$3</f>
        <v>0</v>
      </c>
      <c r="AL397" s="56">
        <f>SUM(Tabell2[[#This Row],[NIBR11-v]:[Inntekt-v]])</f>
        <v>17.466626293084808</v>
      </c>
    </row>
    <row r="398" spans="1:38" x14ac:dyDescent="0.25">
      <c r="A398" s="2" t="s">
        <v>395</v>
      </c>
      <c r="B398">
        <f>'Rådata-K'!M397</f>
        <v>9</v>
      </c>
      <c r="C398" s="7">
        <f>'Rådata-K'!L397</f>
        <v>221.5833333333</v>
      </c>
      <c r="D398" s="34">
        <f>'Rådata-K'!N397</f>
        <v>2.0146955681513745</v>
      </c>
      <c r="E398" s="34">
        <f>'Rådata-K'!O397</f>
        <v>5.2568338840492945E-3</v>
      </c>
      <c r="F398" s="34">
        <f>'Rådata-K'!P397</f>
        <v>0.11265501269983565</v>
      </c>
      <c r="G398" s="34">
        <f>'Rådata-K'!Q397</f>
        <v>0.15658150306290153</v>
      </c>
      <c r="H398" s="34">
        <f>'Rådata-K'!R397</f>
        <v>5.6593406593406614E-2</v>
      </c>
      <c r="I398" s="34">
        <f>'Rådata-K'!S397</f>
        <v>0.91031847133757959</v>
      </c>
      <c r="J398" s="22">
        <f>'Rådata-K'!K397</f>
        <v>378200</v>
      </c>
      <c r="K398" s="22">
        <f>Tabell2[[#This Row],[NIBR11]]</f>
        <v>9</v>
      </c>
      <c r="L398" s="32">
        <f>IF(Tabell2[[#This Row],[ReisetidOslo]]&lt;=C$434,C$434,IF(Tabell2[[#This Row],[ReisetidOslo]]&gt;=C$435,C$435,Tabell2[[#This Row],[ReisetidOslo]]))</f>
        <v>221.5833333333</v>
      </c>
      <c r="M398" s="32">
        <f>IF(Tabell2[[#This Row],[Beftettotal]]&lt;=D$434,D$434,IF(Tabell2[[#This Row],[Beftettotal]]&gt;=D$435,D$435,Tabell2[[#This Row],[Beftettotal]]))</f>
        <v>2.0146955681513745</v>
      </c>
      <c r="N398" s="34">
        <f>IF(Tabell2[[#This Row],[Befvekst10]]&lt;=E$434,E$434,IF(Tabell2[[#This Row],[Befvekst10]]&gt;=E$435,E$435,Tabell2[[#This Row],[Befvekst10]]))</f>
        <v>5.2568338840492945E-3</v>
      </c>
      <c r="O398" s="34">
        <f>IF(Tabell2[[#This Row],[Kvinneandel]]&lt;=F$434,F$434,IF(Tabell2[[#This Row],[Kvinneandel]]&gt;=F$435,F$435,Tabell2[[#This Row],[Kvinneandel]]))</f>
        <v>0.11265501269983565</v>
      </c>
      <c r="P398" s="34">
        <f>IF(Tabell2[[#This Row],[Eldreandel]]&lt;=G$434,G$434,IF(Tabell2[[#This Row],[Eldreandel]]&gt;=G$435,G$435,Tabell2[[#This Row],[Eldreandel]]))</f>
        <v>0.15658150306290153</v>
      </c>
      <c r="Q398" s="34">
        <f>IF(Tabell2[[#This Row],[Sysselsettingsvekst10]]&lt;=H$434,H$434,IF(Tabell2[[#This Row],[Sysselsettingsvekst10]]&gt;=H$435,H$435,Tabell2[[#This Row],[Sysselsettingsvekst10]]))</f>
        <v>5.6593406593406614E-2</v>
      </c>
      <c r="R398" s="34">
        <f>IF(Tabell2[[#This Row],[Yrkesaktivandel]]&lt;=I$434,I$434,IF(Tabell2[[#This Row],[Yrkesaktivandel]]&gt;=I$435,I$435,Tabell2[[#This Row],[Yrkesaktivandel]]))</f>
        <v>0.91031847133757959</v>
      </c>
      <c r="S398" s="22">
        <f>IF(Tabell2[[#This Row],[Inntekt]]&lt;=J$434,J$434,IF(Tabell2[[#This Row],[Inntekt]]&gt;=J$435,J$435,Tabell2[[#This Row],[Inntekt]]))</f>
        <v>378200</v>
      </c>
      <c r="T398" s="22">
        <f>IF(Tabell2[[#This Row],[NIBR11-T]]&lt;=K$437,100,IF(Tabell2[[#This Row],[NIBR11-T]]&gt;=K$436,0,100*(K$436-Tabell2[[#This Row],[NIBR11-T]])/K$439))</f>
        <v>20</v>
      </c>
      <c r="U398" s="7">
        <f>IF(Tabell2[[#This Row],[ReisetidOslo-T]]&lt;=L$437,100,IF(Tabell2[[#This Row],[ReisetidOslo-T]]&gt;=L$436,0,100*(L$436-Tabell2[[#This Row],[ReisetidOslo-T]])/L$439))</f>
        <v>25.831078610625511</v>
      </c>
      <c r="V398" s="7">
        <f>100-(M$436-Tabell2[[#This Row],[Beftettotal-T]])*100/M$439</f>
        <v>0.5298367626233329</v>
      </c>
      <c r="W398" s="7">
        <f>100-(N$436-Tabell2[[#This Row],[Befvekst10-T]])*100/N$439</f>
        <v>32.795951336061009</v>
      </c>
      <c r="X398" s="7">
        <f>100-(O$436-Tabell2[[#This Row],[Kvinneandel-T]])*100/O$439</f>
        <v>58.570114393788195</v>
      </c>
      <c r="Y398" s="7">
        <f>(P$436-Tabell2[[#This Row],[Eldreandel-T]])*100/P$439</f>
        <v>63.338214958464441</v>
      </c>
      <c r="Z398" s="7">
        <f>100-(Q$436-Tabell2[[#This Row],[Sysselsettingsvekst10-T]])*100/Q$439</f>
        <v>37.587415924408113</v>
      </c>
      <c r="AA398" s="7">
        <f>100-(R$436-Tabell2[[#This Row],[Yrkesaktivandel-T]])*100/R$439</f>
        <v>60.237242377847622</v>
      </c>
      <c r="AB398" s="7">
        <f>100-(S$436-Tabell2[[#This Row],[Inntekt-T]])*100/S$439</f>
        <v>54.051543998142556</v>
      </c>
      <c r="AC398" s="55">
        <f>Tabell2[[#This Row],[NIBR11-I]]*Vekter!$B$3</f>
        <v>4</v>
      </c>
      <c r="AD398" s="55">
        <f>Tabell2[[#This Row],[ReisetidOslo-I]]*Vekter!$C$3</f>
        <v>2.5831078610625511</v>
      </c>
      <c r="AE398" s="55">
        <f>Tabell2[[#This Row],[Beftettotal-I]]*Vekter!$D$3</f>
        <v>5.2983676262333294E-2</v>
      </c>
      <c r="AF398" s="55">
        <f>Tabell2[[#This Row],[Befvekst10-I]]*Vekter!$E$3</f>
        <v>6.5591902672122018</v>
      </c>
      <c r="AG398" s="55">
        <f>Tabell2[[#This Row],[Kvinneandel-I]]*Vekter!$F$3</f>
        <v>2.9285057196894098</v>
      </c>
      <c r="AH398" s="55">
        <f>Tabell2[[#This Row],[Eldreandel-I]]*Vekter!$G$3</f>
        <v>3.1669107479232221</v>
      </c>
      <c r="AI398" s="55">
        <f>Tabell2[[#This Row],[Sysselsettingsvekst10-I]]*Vekter!$H$3</f>
        <v>3.7587415924408116</v>
      </c>
      <c r="AJ398" s="55">
        <f>Tabell2[[#This Row],[Yrkesaktivandel-I]]*Vekter!$J$3</f>
        <v>6.0237242377847622</v>
      </c>
      <c r="AK398" s="55">
        <f>Tabell2[[#This Row],[Inntekt-I]]*Vekter!$L$3</f>
        <v>5.4051543998142559</v>
      </c>
      <c r="AL398" s="56">
        <f>SUM(Tabell2[[#This Row],[NIBR11-v]:[Inntekt-v]])</f>
        <v>34.478318502189545</v>
      </c>
    </row>
    <row r="399" spans="1:38" x14ac:dyDescent="0.25">
      <c r="A399" s="2" t="s">
        <v>396</v>
      </c>
      <c r="B399">
        <f>'Rådata-K'!M398</f>
        <v>8</v>
      </c>
      <c r="C399" s="7">
        <f>'Rådata-K'!L398</f>
        <v>231.45</v>
      </c>
      <c r="D399" s="34">
        <f>'Rådata-K'!N398</f>
        <v>9.5550571752914131</v>
      </c>
      <c r="E399" s="34">
        <f>'Rådata-K'!O398</f>
        <v>3.6336336336336261E-2</v>
      </c>
      <c r="F399" s="34">
        <f>'Rådata-K'!P398</f>
        <v>0.10866415531729934</v>
      </c>
      <c r="G399" s="34">
        <f>'Rådata-K'!Q398</f>
        <v>0.15879455230368009</v>
      </c>
      <c r="H399" s="34">
        <f>'Rådata-K'!R398</f>
        <v>-9.7476066144473461E-2</v>
      </c>
      <c r="I399" s="34">
        <f>'Rådata-K'!S398</f>
        <v>0.87120041215868105</v>
      </c>
      <c r="J399" s="22">
        <f>'Rådata-K'!K398</f>
        <v>362100</v>
      </c>
      <c r="K399" s="22">
        <f>Tabell2[[#This Row],[NIBR11]]</f>
        <v>8</v>
      </c>
      <c r="L399" s="32">
        <f>IF(Tabell2[[#This Row],[ReisetidOslo]]&lt;=C$434,C$434,IF(Tabell2[[#This Row],[ReisetidOslo]]&gt;=C$435,C$435,Tabell2[[#This Row],[ReisetidOslo]]))</f>
        <v>231.45</v>
      </c>
      <c r="M399" s="32">
        <f>IF(Tabell2[[#This Row],[Beftettotal]]&lt;=D$434,D$434,IF(Tabell2[[#This Row],[Beftettotal]]&gt;=D$435,D$435,Tabell2[[#This Row],[Beftettotal]]))</f>
        <v>9.5550571752914131</v>
      </c>
      <c r="N399" s="34">
        <f>IF(Tabell2[[#This Row],[Befvekst10]]&lt;=E$434,E$434,IF(Tabell2[[#This Row],[Befvekst10]]&gt;=E$435,E$435,Tabell2[[#This Row],[Befvekst10]]))</f>
        <v>3.6336336336336261E-2</v>
      </c>
      <c r="O399" s="34">
        <f>IF(Tabell2[[#This Row],[Kvinneandel]]&lt;=F$434,F$434,IF(Tabell2[[#This Row],[Kvinneandel]]&gt;=F$435,F$435,Tabell2[[#This Row],[Kvinneandel]]))</f>
        <v>0.10866415531729934</v>
      </c>
      <c r="P399" s="34">
        <f>IF(Tabell2[[#This Row],[Eldreandel]]&lt;=G$434,G$434,IF(Tabell2[[#This Row],[Eldreandel]]&gt;=G$435,G$435,Tabell2[[#This Row],[Eldreandel]]))</f>
        <v>0.15879455230368009</v>
      </c>
      <c r="Q399" s="34">
        <f>IF(Tabell2[[#This Row],[Sysselsettingsvekst10]]&lt;=H$434,H$434,IF(Tabell2[[#This Row],[Sysselsettingsvekst10]]&gt;=H$435,H$435,Tabell2[[#This Row],[Sysselsettingsvekst10]]))</f>
        <v>-6.9733479337269061E-2</v>
      </c>
      <c r="R399" s="34">
        <f>IF(Tabell2[[#This Row],[Yrkesaktivandel]]&lt;=I$434,I$434,IF(Tabell2[[#This Row],[Yrkesaktivandel]]&gt;=I$435,I$435,Tabell2[[#This Row],[Yrkesaktivandel]]))</f>
        <v>0.87120041215868105</v>
      </c>
      <c r="S399" s="22">
        <f>IF(Tabell2[[#This Row],[Inntekt]]&lt;=J$434,J$434,IF(Tabell2[[#This Row],[Inntekt]]&gt;=J$435,J$435,Tabell2[[#This Row],[Inntekt]]))</f>
        <v>362100</v>
      </c>
      <c r="T399" s="22">
        <f>IF(Tabell2[[#This Row],[NIBR11-T]]&lt;=K$437,100,IF(Tabell2[[#This Row],[NIBR11-T]]&gt;=K$436,0,100*(K$436-Tabell2[[#This Row],[NIBR11-T]])/K$439))</f>
        <v>30</v>
      </c>
      <c r="U399" s="7">
        <f>IF(Tabell2[[#This Row],[ReisetidOslo-T]]&lt;=L$437,100,IF(Tabell2[[#This Row],[ReisetidOslo-T]]&gt;=L$436,0,100*(L$436-Tabell2[[#This Row],[ReisetidOslo-T]])/L$439))</f>
        <v>21.502010968929437</v>
      </c>
      <c r="V399" s="7">
        <f>100-(M$436-Tabell2[[#This Row],[Beftettotal-T]])*100/M$439</f>
        <v>6.3628401698842225</v>
      </c>
      <c r="W399" s="7">
        <f>100-(N$436-Tabell2[[#This Row],[Befvekst10-T]])*100/N$439</f>
        <v>45.309695110018204</v>
      </c>
      <c r="X399" s="7">
        <f>100-(O$436-Tabell2[[#This Row],[Kvinneandel-T]])*100/O$439</f>
        <v>48.024347713796949</v>
      </c>
      <c r="Y399" s="7">
        <f>(P$436-Tabell2[[#This Row],[Eldreandel-T]])*100/P$439</f>
        <v>60.913261963160018</v>
      </c>
      <c r="Z399" s="7">
        <f>100-(Q$436-Tabell2[[#This Row],[Sysselsettingsvekst10-T]])*100/Q$439</f>
        <v>0</v>
      </c>
      <c r="AA399" s="7">
        <f>100-(R$436-Tabell2[[#This Row],[Yrkesaktivandel-T]])*100/R$439</f>
        <v>30.159689449199874</v>
      </c>
      <c r="AB399" s="7">
        <f>100-(S$436-Tabell2[[#This Row],[Inntekt-T]])*100/S$439</f>
        <v>35.361040167169719</v>
      </c>
      <c r="AC399" s="55">
        <f>Tabell2[[#This Row],[NIBR11-I]]*Vekter!$B$3</f>
        <v>6</v>
      </c>
      <c r="AD399" s="55">
        <f>Tabell2[[#This Row],[ReisetidOslo-I]]*Vekter!$C$3</f>
        <v>2.1502010968929439</v>
      </c>
      <c r="AE399" s="55">
        <f>Tabell2[[#This Row],[Beftettotal-I]]*Vekter!$D$3</f>
        <v>0.6362840169884223</v>
      </c>
      <c r="AF399" s="55">
        <f>Tabell2[[#This Row],[Befvekst10-I]]*Vekter!$E$3</f>
        <v>9.0619390220036404</v>
      </c>
      <c r="AG399" s="55">
        <f>Tabell2[[#This Row],[Kvinneandel-I]]*Vekter!$F$3</f>
        <v>2.4012173856898475</v>
      </c>
      <c r="AH399" s="55">
        <f>Tabell2[[#This Row],[Eldreandel-I]]*Vekter!$G$3</f>
        <v>3.0456630981580011</v>
      </c>
      <c r="AI399" s="55">
        <f>Tabell2[[#This Row],[Sysselsettingsvekst10-I]]*Vekter!$H$3</f>
        <v>0</v>
      </c>
      <c r="AJ399" s="55">
        <f>Tabell2[[#This Row],[Yrkesaktivandel-I]]*Vekter!$J$3</f>
        <v>3.0159689449199876</v>
      </c>
      <c r="AK399" s="55">
        <f>Tabell2[[#This Row],[Inntekt-I]]*Vekter!$L$3</f>
        <v>3.5361040167169722</v>
      </c>
      <c r="AL399" s="56">
        <f>SUM(Tabell2[[#This Row],[NIBR11-v]:[Inntekt-v]])</f>
        <v>29.847377581369816</v>
      </c>
    </row>
    <row r="400" spans="1:38" x14ac:dyDescent="0.25">
      <c r="A400" s="2" t="s">
        <v>397</v>
      </c>
      <c r="B400">
        <f>'Rådata-K'!M399</f>
        <v>8</v>
      </c>
      <c r="C400" s="7">
        <f>'Rådata-K'!L399</f>
        <v>255.11666666669998</v>
      </c>
      <c r="D400" s="34">
        <f>'Rådata-K'!N399</f>
        <v>3.999445484161642</v>
      </c>
      <c r="E400" s="34">
        <f>'Rådata-K'!O399</f>
        <v>-0.10403726708074534</v>
      </c>
      <c r="F400" s="34">
        <f>'Rådata-K'!P399</f>
        <v>7.7123050259965339E-2</v>
      </c>
      <c r="G400" s="34">
        <f>'Rådata-K'!Q399</f>
        <v>0.22097053726169844</v>
      </c>
      <c r="H400" s="34">
        <f>'Rådata-K'!R399</f>
        <v>-0.15980629539951574</v>
      </c>
      <c r="I400" s="34">
        <f>'Rådata-K'!S399</f>
        <v>0.79245283018867929</v>
      </c>
      <c r="J400" s="22">
        <f>'Rådata-K'!K399</f>
        <v>334200</v>
      </c>
      <c r="K400" s="22">
        <f>Tabell2[[#This Row],[NIBR11]]</f>
        <v>8</v>
      </c>
      <c r="L400" s="32">
        <f>IF(Tabell2[[#This Row],[ReisetidOslo]]&lt;=C$434,C$434,IF(Tabell2[[#This Row],[ReisetidOslo]]&gt;=C$435,C$435,Tabell2[[#This Row],[ReisetidOslo]]))</f>
        <v>255.11666666669998</v>
      </c>
      <c r="M400" s="32">
        <f>IF(Tabell2[[#This Row],[Beftettotal]]&lt;=D$434,D$434,IF(Tabell2[[#This Row],[Beftettotal]]&gt;=D$435,D$435,Tabell2[[#This Row],[Beftettotal]]))</f>
        <v>3.999445484161642</v>
      </c>
      <c r="N400" s="34">
        <f>IF(Tabell2[[#This Row],[Befvekst10]]&lt;=E$434,E$434,IF(Tabell2[[#This Row],[Befvekst10]]&gt;=E$435,E$435,Tabell2[[#This Row],[Befvekst10]]))</f>
        <v>-7.6196156394963507E-2</v>
      </c>
      <c r="O400" s="34">
        <f>IF(Tabell2[[#This Row],[Kvinneandel]]&lt;=F$434,F$434,IF(Tabell2[[#This Row],[Kvinneandel]]&gt;=F$435,F$435,Tabell2[[#This Row],[Kvinneandel]]))</f>
        <v>9.0490197137593403E-2</v>
      </c>
      <c r="P400" s="34">
        <f>IF(Tabell2[[#This Row],[Eldreandel]]&lt;=G$434,G$434,IF(Tabell2[[#This Row],[Eldreandel]]&gt;=G$435,G$435,Tabell2[[#This Row],[Eldreandel]]))</f>
        <v>0.21438492803547596</v>
      </c>
      <c r="Q400" s="34">
        <f>IF(Tabell2[[#This Row],[Sysselsettingsvekst10]]&lt;=H$434,H$434,IF(Tabell2[[#This Row],[Sysselsettingsvekst10]]&gt;=H$435,H$435,Tabell2[[#This Row],[Sysselsettingsvekst10]]))</f>
        <v>-6.9733479337269061E-2</v>
      </c>
      <c r="R400" s="34">
        <f>IF(Tabell2[[#This Row],[Yrkesaktivandel]]&lt;=I$434,I$434,IF(Tabell2[[#This Row],[Yrkesaktivandel]]&gt;=I$435,I$435,Tabell2[[#This Row],[Yrkesaktivandel]]))</f>
        <v>0.83197552842263423</v>
      </c>
      <c r="S400" s="22">
        <f>IF(Tabell2[[#This Row],[Inntekt]]&lt;=J$434,J$434,IF(Tabell2[[#This Row],[Inntekt]]&gt;=J$435,J$435,Tabell2[[#This Row],[Inntekt]]))</f>
        <v>334200</v>
      </c>
      <c r="T400" s="22">
        <f>IF(Tabell2[[#This Row],[NIBR11-T]]&lt;=K$437,100,IF(Tabell2[[#This Row],[NIBR11-T]]&gt;=K$436,0,100*(K$436-Tabell2[[#This Row],[NIBR11-T]])/K$439))</f>
        <v>30</v>
      </c>
      <c r="U400" s="7">
        <f>IF(Tabell2[[#This Row],[ReisetidOslo-T]]&lt;=L$437,100,IF(Tabell2[[#This Row],[ReisetidOslo-T]]&gt;=L$436,0,100*(L$436-Tabell2[[#This Row],[ReisetidOslo-T]])/L$439))</f>
        <v>11.118098720286989</v>
      </c>
      <c r="V400" s="7">
        <f>100-(M$436-Tabell2[[#This Row],[Beftettotal-T]])*100/M$439</f>
        <v>2.0651813025570931</v>
      </c>
      <c r="W400" s="7">
        <f>100-(N$436-Tabell2[[#This Row],[Befvekst10-T]])*100/N$439</f>
        <v>0</v>
      </c>
      <c r="X400" s="7">
        <f>100-(O$436-Tabell2[[#This Row],[Kvinneandel-T]])*100/O$439</f>
        <v>0</v>
      </c>
      <c r="Y400" s="7">
        <f>(P$436-Tabell2[[#This Row],[Eldreandel-T]])*100/P$439</f>
        <v>0</v>
      </c>
      <c r="Z400" s="7">
        <f>100-(Q$436-Tabell2[[#This Row],[Sysselsettingsvekst10-T]])*100/Q$439</f>
        <v>0</v>
      </c>
      <c r="AA400" s="7">
        <f>100-(R$436-Tabell2[[#This Row],[Yrkesaktivandel-T]])*100/R$439</f>
        <v>0</v>
      </c>
      <c r="AB400" s="7">
        <f>100-(S$436-Tabell2[[#This Row],[Inntekt-T]])*100/S$439</f>
        <v>2.9719061992105935</v>
      </c>
      <c r="AC400" s="55">
        <f>Tabell2[[#This Row],[NIBR11-I]]*Vekter!$B$3</f>
        <v>6</v>
      </c>
      <c r="AD400" s="55">
        <f>Tabell2[[#This Row],[ReisetidOslo-I]]*Vekter!$C$3</f>
        <v>1.1118098720286989</v>
      </c>
      <c r="AE400" s="55">
        <f>Tabell2[[#This Row],[Beftettotal-I]]*Vekter!$D$3</f>
        <v>0.20651813025570931</v>
      </c>
      <c r="AF400" s="55">
        <f>Tabell2[[#This Row],[Befvekst10-I]]*Vekter!$E$3</f>
        <v>0</v>
      </c>
      <c r="AG400" s="55">
        <f>Tabell2[[#This Row],[Kvinneandel-I]]*Vekter!$F$3</f>
        <v>0</v>
      </c>
      <c r="AH400" s="55">
        <f>Tabell2[[#This Row],[Eldreandel-I]]*Vekter!$G$3</f>
        <v>0</v>
      </c>
      <c r="AI400" s="55">
        <f>Tabell2[[#This Row],[Sysselsettingsvekst10-I]]*Vekter!$H$3</f>
        <v>0</v>
      </c>
      <c r="AJ400" s="55">
        <f>Tabell2[[#This Row],[Yrkesaktivandel-I]]*Vekter!$J$3</f>
        <v>0</v>
      </c>
      <c r="AK400" s="55">
        <f>Tabell2[[#This Row],[Inntekt-I]]*Vekter!$L$3</f>
        <v>0.29719061992105938</v>
      </c>
      <c r="AL400" s="56">
        <f>SUM(Tabell2[[#This Row],[NIBR11-v]:[Inntekt-v]])</f>
        <v>7.6155186222054674</v>
      </c>
    </row>
    <row r="401" spans="1:38" x14ac:dyDescent="0.25">
      <c r="A401" s="2" t="s">
        <v>398</v>
      </c>
      <c r="B401">
        <f>'Rådata-K'!M400</f>
        <v>8</v>
      </c>
      <c r="C401" s="7">
        <f>'Rådata-K'!L400</f>
        <v>265.03333333329999</v>
      </c>
      <c r="D401" s="34">
        <f>'Rådata-K'!N400</f>
        <v>2.9472960849065606</v>
      </c>
      <c r="E401" s="34">
        <f>'Rådata-K'!O400</f>
        <v>-5.3921568627451011E-2</v>
      </c>
      <c r="F401" s="34">
        <f>'Rådata-K'!P400</f>
        <v>8.8730569948186525E-2</v>
      </c>
      <c r="G401" s="34">
        <f>'Rådata-K'!Q400</f>
        <v>0.23121761658031087</v>
      </c>
      <c r="H401" s="34">
        <f>'Rådata-K'!R400</f>
        <v>5.7513914656771803E-2</v>
      </c>
      <c r="I401" s="34">
        <f>'Rådata-K'!S400</f>
        <v>0.87483870967741939</v>
      </c>
      <c r="J401" s="22">
        <f>'Rådata-K'!K400</f>
        <v>335200</v>
      </c>
      <c r="K401" s="22">
        <f>Tabell2[[#This Row],[NIBR11]]</f>
        <v>8</v>
      </c>
      <c r="L401" s="32">
        <f>IF(Tabell2[[#This Row],[ReisetidOslo]]&lt;=C$434,C$434,IF(Tabell2[[#This Row],[ReisetidOslo]]&gt;=C$435,C$435,Tabell2[[#This Row],[ReisetidOslo]]))</f>
        <v>265.03333333329999</v>
      </c>
      <c r="M401" s="32">
        <f>IF(Tabell2[[#This Row],[Beftettotal]]&lt;=D$434,D$434,IF(Tabell2[[#This Row],[Beftettotal]]&gt;=D$435,D$435,Tabell2[[#This Row],[Beftettotal]]))</f>
        <v>2.9472960849065606</v>
      </c>
      <c r="N401" s="34">
        <f>IF(Tabell2[[#This Row],[Befvekst10]]&lt;=E$434,E$434,IF(Tabell2[[#This Row],[Befvekst10]]&gt;=E$435,E$435,Tabell2[[#This Row],[Befvekst10]]))</f>
        <v>-5.3921568627451011E-2</v>
      </c>
      <c r="O401" s="34">
        <f>IF(Tabell2[[#This Row],[Kvinneandel]]&lt;=F$434,F$434,IF(Tabell2[[#This Row],[Kvinneandel]]&gt;=F$435,F$435,Tabell2[[#This Row],[Kvinneandel]]))</f>
        <v>9.0490197137593403E-2</v>
      </c>
      <c r="P401" s="34">
        <f>IF(Tabell2[[#This Row],[Eldreandel]]&lt;=G$434,G$434,IF(Tabell2[[#This Row],[Eldreandel]]&gt;=G$435,G$435,Tabell2[[#This Row],[Eldreandel]]))</f>
        <v>0.21438492803547596</v>
      </c>
      <c r="Q401" s="34">
        <f>IF(Tabell2[[#This Row],[Sysselsettingsvekst10]]&lt;=H$434,H$434,IF(Tabell2[[#This Row],[Sysselsettingsvekst10]]&gt;=H$435,H$435,Tabell2[[#This Row],[Sysselsettingsvekst10]]))</f>
        <v>5.7513914656771803E-2</v>
      </c>
      <c r="R401" s="34">
        <f>IF(Tabell2[[#This Row],[Yrkesaktivandel]]&lt;=I$434,I$434,IF(Tabell2[[#This Row],[Yrkesaktivandel]]&gt;=I$435,I$435,Tabell2[[#This Row],[Yrkesaktivandel]]))</f>
        <v>0.87483870967741939</v>
      </c>
      <c r="S401" s="22">
        <f>IF(Tabell2[[#This Row],[Inntekt]]&lt;=J$434,J$434,IF(Tabell2[[#This Row],[Inntekt]]&gt;=J$435,J$435,Tabell2[[#This Row],[Inntekt]]))</f>
        <v>335200</v>
      </c>
      <c r="T401" s="22">
        <f>IF(Tabell2[[#This Row],[NIBR11-T]]&lt;=K$437,100,IF(Tabell2[[#This Row],[NIBR11-T]]&gt;=K$436,0,100*(K$436-Tabell2[[#This Row],[NIBR11-T]])/K$439))</f>
        <v>30</v>
      </c>
      <c r="U401" s="7">
        <f>IF(Tabell2[[#This Row],[ReisetidOslo-T]]&lt;=L$437,100,IF(Tabell2[[#This Row],[ReisetidOslo-T]]&gt;=L$436,0,100*(L$436-Tabell2[[#This Row],[ReisetidOslo-T]])/L$439))</f>
        <v>6.7670932358559881</v>
      </c>
      <c r="V401" s="7">
        <f>100-(M$436-Tabell2[[#This Row],[Beftettotal-T]])*100/M$439</f>
        <v>1.251269271469468</v>
      </c>
      <c r="W401" s="7">
        <f>100-(N$436-Tabell2[[#This Row],[Befvekst10-T]])*100/N$439</f>
        <v>8.9685632651645619</v>
      </c>
      <c r="X401" s="7">
        <f>100-(O$436-Tabell2[[#This Row],[Kvinneandel-T]])*100/O$439</f>
        <v>0</v>
      </c>
      <c r="Y401" s="7">
        <f>(P$436-Tabell2[[#This Row],[Eldreandel-T]])*100/P$439</f>
        <v>0</v>
      </c>
      <c r="Z401" s="7">
        <f>100-(Q$436-Tabell2[[#This Row],[Sysselsettingsvekst10-T]])*100/Q$439</f>
        <v>37.861304726341103</v>
      </c>
      <c r="AA401" s="7">
        <f>100-(R$436-Tabell2[[#This Row],[Yrkesaktivandel-T]])*100/R$439</f>
        <v>32.957146390751078</v>
      </c>
      <c r="AB401" s="7">
        <f>100-(S$436-Tabell2[[#This Row],[Inntekt-T]])*100/S$439</f>
        <v>4.1328070582772227</v>
      </c>
      <c r="AC401" s="55">
        <f>Tabell2[[#This Row],[NIBR11-I]]*Vekter!$B$3</f>
        <v>6</v>
      </c>
      <c r="AD401" s="55">
        <f>Tabell2[[#This Row],[ReisetidOslo-I]]*Vekter!$C$3</f>
        <v>0.67670932358559888</v>
      </c>
      <c r="AE401" s="55">
        <f>Tabell2[[#This Row],[Beftettotal-I]]*Vekter!$D$3</f>
        <v>0.12512692714694681</v>
      </c>
      <c r="AF401" s="55">
        <f>Tabell2[[#This Row],[Befvekst10-I]]*Vekter!$E$3</f>
        <v>1.7937126530329124</v>
      </c>
      <c r="AG401" s="55">
        <f>Tabell2[[#This Row],[Kvinneandel-I]]*Vekter!$F$3</f>
        <v>0</v>
      </c>
      <c r="AH401" s="55">
        <f>Tabell2[[#This Row],[Eldreandel-I]]*Vekter!$G$3</f>
        <v>0</v>
      </c>
      <c r="AI401" s="55">
        <f>Tabell2[[#This Row],[Sysselsettingsvekst10-I]]*Vekter!$H$3</f>
        <v>3.7861304726341105</v>
      </c>
      <c r="AJ401" s="55">
        <f>Tabell2[[#This Row],[Yrkesaktivandel-I]]*Vekter!$J$3</f>
        <v>3.2957146390751078</v>
      </c>
      <c r="AK401" s="55">
        <f>Tabell2[[#This Row],[Inntekt-I]]*Vekter!$L$3</f>
        <v>0.41328070582772231</v>
      </c>
      <c r="AL401" s="56">
        <f>SUM(Tabell2[[#This Row],[NIBR11-v]:[Inntekt-v]])</f>
        <v>16.090674721302399</v>
      </c>
    </row>
    <row r="402" spans="1:38" x14ac:dyDescent="0.25">
      <c r="A402" s="2" t="s">
        <v>399</v>
      </c>
      <c r="B402">
        <f>'Rådata-K'!M401</f>
        <v>11</v>
      </c>
      <c r="C402" s="7">
        <f>'Rådata-K'!L401</f>
        <v>299.43333333329997</v>
      </c>
      <c r="D402" s="34">
        <f>'Rådata-K'!N401</f>
        <v>3.6315832717114449</v>
      </c>
      <c r="E402" s="34">
        <f>'Rådata-K'!O401</f>
        <v>-0.14424007744433687</v>
      </c>
      <c r="F402" s="34">
        <f>'Rådata-K'!P401</f>
        <v>9.3891402714932126E-2</v>
      </c>
      <c r="G402" s="34">
        <f>'Rådata-K'!Q401</f>
        <v>0.23416289592760181</v>
      </c>
      <c r="H402" s="34">
        <f>'Rådata-K'!R401</f>
        <v>-0.20181405895691606</v>
      </c>
      <c r="I402" s="34">
        <f>'Rådata-K'!S401</f>
        <v>0.86401673640167365</v>
      </c>
      <c r="J402" s="22">
        <f>'Rådata-K'!K401</f>
        <v>332500</v>
      </c>
      <c r="K402" s="22">
        <f>Tabell2[[#This Row],[NIBR11]]</f>
        <v>11</v>
      </c>
      <c r="L402" s="32">
        <f>IF(Tabell2[[#This Row],[ReisetidOslo]]&lt;=C$434,C$434,IF(Tabell2[[#This Row],[ReisetidOslo]]&gt;=C$435,C$435,Tabell2[[#This Row],[ReisetidOslo]]))</f>
        <v>280.45666666669001</v>
      </c>
      <c r="M402" s="32">
        <f>IF(Tabell2[[#This Row],[Beftettotal]]&lt;=D$434,D$434,IF(Tabell2[[#This Row],[Beftettotal]]&gt;=D$435,D$435,Tabell2[[#This Row],[Beftettotal]]))</f>
        <v>3.6315832717114449</v>
      </c>
      <c r="N402" s="34">
        <f>IF(Tabell2[[#This Row],[Befvekst10]]&lt;=E$434,E$434,IF(Tabell2[[#This Row],[Befvekst10]]&gt;=E$435,E$435,Tabell2[[#This Row],[Befvekst10]]))</f>
        <v>-7.6196156394963507E-2</v>
      </c>
      <c r="O402" s="34">
        <f>IF(Tabell2[[#This Row],[Kvinneandel]]&lt;=F$434,F$434,IF(Tabell2[[#This Row],[Kvinneandel]]&gt;=F$435,F$435,Tabell2[[#This Row],[Kvinneandel]]))</f>
        <v>9.3891402714932126E-2</v>
      </c>
      <c r="P402" s="34">
        <f>IF(Tabell2[[#This Row],[Eldreandel]]&lt;=G$434,G$434,IF(Tabell2[[#This Row],[Eldreandel]]&gt;=G$435,G$435,Tabell2[[#This Row],[Eldreandel]]))</f>
        <v>0.21438492803547596</v>
      </c>
      <c r="Q402" s="34">
        <f>IF(Tabell2[[#This Row],[Sysselsettingsvekst10]]&lt;=H$434,H$434,IF(Tabell2[[#This Row],[Sysselsettingsvekst10]]&gt;=H$435,H$435,Tabell2[[#This Row],[Sysselsettingsvekst10]]))</f>
        <v>-6.9733479337269061E-2</v>
      </c>
      <c r="R402" s="34">
        <f>IF(Tabell2[[#This Row],[Yrkesaktivandel]]&lt;=I$434,I$434,IF(Tabell2[[#This Row],[Yrkesaktivandel]]&gt;=I$435,I$435,Tabell2[[#This Row],[Yrkesaktivandel]]))</f>
        <v>0.86401673640167365</v>
      </c>
      <c r="S402" s="22">
        <f>IF(Tabell2[[#This Row],[Inntekt]]&lt;=J$434,J$434,IF(Tabell2[[#This Row],[Inntekt]]&gt;=J$435,J$435,Tabell2[[#This Row],[Inntekt]]))</f>
        <v>332500</v>
      </c>
      <c r="T402" s="22">
        <f>IF(Tabell2[[#This Row],[NIBR11-T]]&lt;=K$437,100,IF(Tabell2[[#This Row],[NIBR11-T]]&gt;=K$436,0,100*(K$436-Tabell2[[#This Row],[NIBR11-T]])/K$439))</f>
        <v>0</v>
      </c>
      <c r="U402" s="7">
        <f>IF(Tabell2[[#This Row],[ReisetidOslo-T]]&lt;=L$437,100,IF(Tabell2[[#This Row],[ReisetidOslo-T]]&gt;=L$436,0,100*(L$436-Tabell2[[#This Row],[ReisetidOslo-T]])/L$439))</f>
        <v>0</v>
      </c>
      <c r="V402" s="7">
        <f>100-(M$436-Tabell2[[#This Row],[Beftettotal-T]])*100/M$439</f>
        <v>1.7806138440690802</v>
      </c>
      <c r="W402" s="7">
        <f>100-(N$436-Tabell2[[#This Row],[Befvekst10-T]])*100/N$439</f>
        <v>0</v>
      </c>
      <c r="X402" s="7">
        <f>100-(O$436-Tabell2[[#This Row],[Kvinneandel-T]])*100/O$439</f>
        <v>8.9876227114143887</v>
      </c>
      <c r="Y402" s="7">
        <f>(P$436-Tabell2[[#This Row],[Eldreandel-T]])*100/P$439</f>
        <v>0</v>
      </c>
      <c r="Z402" s="7">
        <f>100-(Q$436-Tabell2[[#This Row],[Sysselsettingsvekst10-T]])*100/Q$439</f>
        <v>0</v>
      </c>
      <c r="AA402" s="7">
        <f>100-(R$436-Tabell2[[#This Row],[Yrkesaktivandel-T]])*100/R$439</f>
        <v>24.636220434147418</v>
      </c>
      <c r="AB402" s="7">
        <f>100-(S$436-Tabell2[[#This Row],[Inntekt-T]])*100/S$439</f>
        <v>0.99837473879730965</v>
      </c>
      <c r="AC402" s="55">
        <f>Tabell2[[#This Row],[NIBR11-I]]*Vekter!$B$3</f>
        <v>0</v>
      </c>
      <c r="AD402" s="55">
        <f>Tabell2[[#This Row],[ReisetidOslo-I]]*Vekter!$C$3</f>
        <v>0</v>
      </c>
      <c r="AE402" s="55">
        <f>Tabell2[[#This Row],[Beftettotal-I]]*Vekter!$D$3</f>
        <v>0.17806138440690802</v>
      </c>
      <c r="AF402" s="55">
        <f>Tabell2[[#This Row],[Befvekst10-I]]*Vekter!$E$3</f>
        <v>0</v>
      </c>
      <c r="AG402" s="55">
        <f>Tabell2[[#This Row],[Kvinneandel-I]]*Vekter!$F$3</f>
        <v>0.44938113557071946</v>
      </c>
      <c r="AH402" s="55">
        <f>Tabell2[[#This Row],[Eldreandel-I]]*Vekter!$G$3</f>
        <v>0</v>
      </c>
      <c r="AI402" s="55">
        <f>Tabell2[[#This Row],[Sysselsettingsvekst10-I]]*Vekter!$H$3</f>
        <v>0</v>
      </c>
      <c r="AJ402" s="55">
        <f>Tabell2[[#This Row],[Yrkesaktivandel-I]]*Vekter!$J$3</f>
        <v>2.463622043414742</v>
      </c>
      <c r="AK402" s="55">
        <f>Tabell2[[#This Row],[Inntekt-I]]*Vekter!$L$3</f>
        <v>9.9837473879730965E-2</v>
      </c>
      <c r="AL402" s="56">
        <f>SUM(Tabell2[[#This Row],[NIBR11-v]:[Inntekt-v]])</f>
        <v>3.1909020372721004</v>
      </c>
    </row>
    <row r="403" spans="1:38" x14ac:dyDescent="0.25">
      <c r="A403" s="2" t="s">
        <v>400</v>
      </c>
      <c r="B403">
        <f>'Rådata-K'!M402</f>
        <v>11</v>
      </c>
      <c r="C403" s="7">
        <f>'Rådata-K'!L402</f>
        <v>296.96666666670001</v>
      </c>
      <c r="D403" s="34">
        <f>'Rådata-K'!N402</f>
        <v>3.0793834427847155</v>
      </c>
      <c r="E403" s="34">
        <f>'Rådata-K'!O402</f>
        <v>-0.10749506903353057</v>
      </c>
      <c r="F403" s="34">
        <f>'Rådata-K'!P402</f>
        <v>0.11160220994475138</v>
      </c>
      <c r="G403" s="34">
        <f>'Rådata-K'!Q402</f>
        <v>0.20110497237569061</v>
      </c>
      <c r="H403" s="34">
        <f>'Rådata-K'!R402</f>
        <v>0.18090452261306522</v>
      </c>
      <c r="I403" s="34">
        <f>'Rådata-K'!S402</f>
        <v>0.8716981132075472</v>
      </c>
      <c r="J403" s="22">
        <f>'Rådata-K'!K402</f>
        <v>347400</v>
      </c>
      <c r="K403" s="22">
        <f>Tabell2[[#This Row],[NIBR11]]</f>
        <v>11</v>
      </c>
      <c r="L403" s="32">
        <f>IF(Tabell2[[#This Row],[ReisetidOslo]]&lt;=C$434,C$434,IF(Tabell2[[#This Row],[ReisetidOslo]]&gt;=C$435,C$435,Tabell2[[#This Row],[ReisetidOslo]]))</f>
        <v>280.45666666669001</v>
      </c>
      <c r="M403" s="32">
        <f>IF(Tabell2[[#This Row],[Beftettotal]]&lt;=D$434,D$434,IF(Tabell2[[#This Row],[Beftettotal]]&gt;=D$435,D$435,Tabell2[[#This Row],[Beftettotal]]))</f>
        <v>3.0793834427847155</v>
      </c>
      <c r="N403" s="34">
        <f>IF(Tabell2[[#This Row],[Befvekst10]]&lt;=E$434,E$434,IF(Tabell2[[#This Row],[Befvekst10]]&gt;=E$435,E$435,Tabell2[[#This Row],[Befvekst10]]))</f>
        <v>-7.6196156394963507E-2</v>
      </c>
      <c r="O403" s="34">
        <f>IF(Tabell2[[#This Row],[Kvinneandel]]&lt;=F$434,F$434,IF(Tabell2[[#This Row],[Kvinneandel]]&gt;=F$435,F$435,Tabell2[[#This Row],[Kvinneandel]]))</f>
        <v>0.11160220994475138</v>
      </c>
      <c r="P403" s="34">
        <f>IF(Tabell2[[#This Row],[Eldreandel]]&lt;=G$434,G$434,IF(Tabell2[[#This Row],[Eldreandel]]&gt;=G$435,G$435,Tabell2[[#This Row],[Eldreandel]]))</f>
        <v>0.20110497237569061</v>
      </c>
      <c r="Q403" s="34">
        <f>IF(Tabell2[[#This Row],[Sysselsettingsvekst10]]&lt;=H$434,H$434,IF(Tabell2[[#This Row],[Sysselsettingsvekst10]]&gt;=H$435,H$435,Tabell2[[#This Row],[Sysselsettingsvekst10]]))</f>
        <v>0.18090452261306522</v>
      </c>
      <c r="R403" s="34">
        <f>IF(Tabell2[[#This Row],[Yrkesaktivandel]]&lt;=I$434,I$434,IF(Tabell2[[#This Row],[Yrkesaktivandel]]&gt;=I$435,I$435,Tabell2[[#This Row],[Yrkesaktivandel]]))</f>
        <v>0.8716981132075472</v>
      </c>
      <c r="S403" s="22">
        <f>IF(Tabell2[[#This Row],[Inntekt]]&lt;=J$434,J$434,IF(Tabell2[[#This Row],[Inntekt]]&gt;=J$435,J$435,Tabell2[[#This Row],[Inntekt]]))</f>
        <v>347400</v>
      </c>
      <c r="T403" s="22">
        <f>IF(Tabell2[[#This Row],[NIBR11-T]]&lt;=K$437,100,IF(Tabell2[[#This Row],[NIBR11-T]]&gt;=K$436,0,100*(K$436-Tabell2[[#This Row],[NIBR11-T]])/K$439))</f>
        <v>0</v>
      </c>
      <c r="U403" s="7">
        <f>IF(Tabell2[[#This Row],[ReisetidOslo-T]]&lt;=L$437,100,IF(Tabell2[[#This Row],[ReisetidOslo-T]]&gt;=L$436,0,100*(L$436-Tabell2[[#This Row],[ReisetidOslo-T]])/L$439))</f>
        <v>0</v>
      </c>
      <c r="V403" s="7">
        <f>100-(M$436-Tabell2[[#This Row],[Beftettotal-T]])*100/M$439</f>
        <v>1.353448191884894</v>
      </c>
      <c r="W403" s="7">
        <f>100-(N$436-Tabell2[[#This Row],[Befvekst10-T]])*100/N$439</f>
        <v>0</v>
      </c>
      <c r="X403" s="7">
        <f>100-(O$436-Tabell2[[#This Row],[Kvinneandel-T]])*100/O$439</f>
        <v>55.788102622644772</v>
      </c>
      <c r="Y403" s="7">
        <f>(P$436-Tabell2[[#This Row],[Eldreandel-T]])*100/P$439</f>
        <v>14.551537155755822</v>
      </c>
      <c r="Z403" s="7">
        <f>100-(Q$436-Tabell2[[#This Row],[Sysselsettingsvekst10-T]])*100/Q$439</f>
        <v>74.575057845878433</v>
      </c>
      <c r="AA403" s="7">
        <f>100-(R$436-Tabell2[[#This Row],[Yrkesaktivandel-T]])*100/R$439</f>
        <v>30.542367679003007</v>
      </c>
      <c r="AB403" s="7">
        <f>100-(S$436-Tabell2[[#This Row],[Inntekt-T]])*100/S$439</f>
        <v>18.295797538890184</v>
      </c>
      <c r="AC403" s="55">
        <f>Tabell2[[#This Row],[NIBR11-I]]*Vekter!$B$3</f>
        <v>0</v>
      </c>
      <c r="AD403" s="55">
        <f>Tabell2[[#This Row],[ReisetidOslo-I]]*Vekter!$C$3</f>
        <v>0</v>
      </c>
      <c r="AE403" s="55">
        <f>Tabell2[[#This Row],[Beftettotal-I]]*Vekter!$D$3</f>
        <v>0.1353448191884894</v>
      </c>
      <c r="AF403" s="55">
        <f>Tabell2[[#This Row],[Befvekst10-I]]*Vekter!$E$3</f>
        <v>0</v>
      </c>
      <c r="AG403" s="55">
        <f>Tabell2[[#This Row],[Kvinneandel-I]]*Vekter!$F$3</f>
        <v>2.7894051311322388</v>
      </c>
      <c r="AH403" s="55">
        <f>Tabell2[[#This Row],[Eldreandel-I]]*Vekter!$G$3</f>
        <v>0.72757685778779113</v>
      </c>
      <c r="AI403" s="55">
        <f>Tabell2[[#This Row],[Sysselsettingsvekst10-I]]*Vekter!$H$3</f>
        <v>7.4575057845878439</v>
      </c>
      <c r="AJ403" s="55">
        <f>Tabell2[[#This Row],[Yrkesaktivandel-I]]*Vekter!$J$3</f>
        <v>3.0542367679003011</v>
      </c>
      <c r="AK403" s="55">
        <f>Tabell2[[#This Row],[Inntekt-I]]*Vekter!$L$3</f>
        <v>1.8295797538890186</v>
      </c>
      <c r="AL403" s="56">
        <f>SUM(Tabell2[[#This Row],[NIBR11-v]:[Inntekt-v]])</f>
        <v>15.993649114485684</v>
      </c>
    </row>
    <row r="404" spans="1:38" x14ac:dyDescent="0.25">
      <c r="A404" s="2" t="s">
        <v>401</v>
      </c>
      <c r="B404">
        <f>'Rådata-K'!M403</f>
        <v>8</v>
      </c>
      <c r="C404" s="7">
        <f>'Rådata-K'!L403</f>
        <v>247.85</v>
      </c>
      <c r="D404" s="34">
        <f>'Rådata-K'!N403</f>
        <v>13.052481499083441</v>
      </c>
      <c r="E404" s="34">
        <f>'Rådata-K'!O403</f>
        <v>4.5310376076121539E-2</v>
      </c>
      <c r="F404" s="34">
        <f>'Rådata-K'!P403</f>
        <v>0.11070654529692241</v>
      </c>
      <c r="G404" s="34">
        <f>'Rådata-K'!Q403</f>
        <v>0.15197225834416991</v>
      </c>
      <c r="H404" s="34">
        <f>'Rådata-K'!R403</f>
        <v>9.2619926199261959E-2</v>
      </c>
      <c r="I404" s="34">
        <f>'Rådata-K'!S403</f>
        <v>0.865623062616243</v>
      </c>
      <c r="J404" s="22">
        <f>'Rådata-K'!K403</f>
        <v>359900</v>
      </c>
      <c r="K404" s="22">
        <f>Tabell2[[#This Row],[NIBR11]]</f>
        <v>8</v>
      </c>
      <c r="L404" s="32">
        <f>IF(Tabell2[[#This Row],[ReisetidOslo]]&lt;=C$434,C$434,IF(Tabell2[[#This Row],[ReisetidOslo]]&gt;=C$435,C$435,Tabell2[[#This Row],[ReisetidOslo]]))</f>
        <v>247.85</v>
      </c>
      <c r="M404" s="32">
        <f>IF(Tabell2[[#This Row],[Beftettotal]]&lt;=D$434,D$434,IF(Tabell2[[#This Row],[Beftettotal]]&gt;=D$435,D$435,Tabell2[[#This Row],[Beftettotal]]))</f>
        <v>13.052481499083441</v>
      </c>
      <c r="N404" s="34">
        <f>IF(Tabell2[[#This Row],[Befvekst10]]&lt;=E$434,E$434,IF(Tabell2[[#This Row],[Befvekst10]]&gt;=E$435,E$435,Tabell2[[#This Row],[Befvekst10]]))</f>
        <v>4.5310376076121539E-2</v>
      </c>
      <c r="O404" s="34">
        <f>IF(Tabell2[[#This Row],[Kvinneandel]]&lt;=F$434,F$434,IF(Tabell2[[#This Row],[Kvinneandel]]&gt;=F$435,F$435,Tabell2[[#This Row],[Kvinneandel]]))</f>
        <v>0.11070654529692241</v>
      </c>
      <c r="P404" s="34">
        <f>IF(Tabell2[[#This Row],[Eldreandel]]&lt;=G$434,G$434,IF(Tabell2[[#This Row],[Eldreandel]]&gt;=G$435,G$435,Tabell2[[#This Row],[Eldreandel]]))</f>
        <v>0.15197225834416991</v>
      </c>
      <c r="Q404" s="34">
        <f>IF(Tabell2[[#This Row],[Sysselsettingsvekst10]]&lt;=H$434,H$434,IF(Tabell2[[#This Row],[Sysselsettingsvekst10]]&gt;=H$435,H$435,Tabell2[[#This Row],[Sysselsettingsvekst10]]))</f>
        <v>9.2619926199261959E-2</v>
      </c>
      <c r="R404" s="34">
        <f>IF(Tabell2[[#This Row],[Yrkesaktivandel]]&lt;=I$434,I$434,IF(Tabell2[[#This Row],[Yrkesaktivandel]]&gt;=I$435,I$435,Tabell2[[#This Row],[Yrkesaktivandel]]))</f>
        <v>0.865623062616243</v>
      </c>
      <c r="S404" s="22">
        <f>IF(Tabell2[[#This Row],[Inntekt]]&lt;=J$434,J$434,IF(Tabell2[[#This Row],[Inntekt]]&gt;=J$435,J$435,Tabell2[[#This Row],[Inntekt]]))</f>
        <v>359900</v>
      </c>
      <c r="T404" s="22">
        <f>IF(Tabell2[[#This Row],[NIBR11-T]]&lt;=K$437,100,IF(Tabell2[[#This Row],[NIBR11-T]]&gt;=K$436,0,100*(K$436-Tabell2[[#This Row],[NIBR11-T]])/K$439))</f>
        <v>30</v>
      </c>
      <c r="U404" s="7">
        <f>IF(Tabell2[[#This Row],[ReisetidOslo-T]]&lt;=L$437,100,IF(Tabell2[[#This Row],[ReisetidOslo-T]]&gt;=L$436,0,100*(L$436-Tabell2[[#This Row],[ReisetidOslo-T]])/L$439))</f>
        <v>14.306398537485927</v>
      </c>
      <c r="V404" s="7">
        <f>100-(M$436-Tabell2[[#This Row],[Beftettotal-T]])*100/M$439</f>
        <v>9.0683454307988427</v>
      </c>
      <c r="W404" s="7">
        <f>100-(N$436-Tabell2[[#This Row],[Befvekst10-T]])*100/N$439</f>
        <v>48.922971548191001</v>
      </c>
      <c r="X404" s="7">
        <f>100-(O$436-Tabell2[[#This Row],[Kvinneandel-T]])*100/O$439</f>
        <v>53.421325388045119</v>
      </c>
      <c r="Y404" s="7">
        <f>(P$436-Tabell2[[#This Row],[Eldreandel-T]])*100/P$439</f>
        <v>68.388803793463495</v>
      </c>
      <c r="Z404" s="7">
        <f>100-(Q$436-Tabell2[[#This Row],[Sysselsettingsvekst10-T]])*100/Q$439</f>
        <v>48.306779160174408</v>
      </c>
      <c r="AA404" s="7">
        <f>100-(R$436-Tabell2[[#This Row],[Yrkesaktivandel-T]])*100/R$439</f>
        <v>25.871311406284576</v>
      </c>
      <c r="AB404" s="7">
        <f>100-(S$436-Tabell2[[#This Row],[Inntekt-T]])*100/S$439</f>
        <v>32.807058277223121</v>
      </c>
      <c r="AC404" s="55">
        <f>Tabell2[[#This Row],[NIBR11-I]]*Vekter!$B$3</f>
        <v>6</v>
      </c>
      <c r="AD404" s="55">
        <f>Tabell2[[#This Row],[ReisetidOslo-I]]*Vekter!$C$3</f>
        <v>1.4306398537485929</v>
      </c>
      <c r="AE404" s="55">
        <f>Tabell2[[#This Row],[Beftettotal-I]]*Vekter!$D$3</f>
        <v>0.90683454307988431</v>
      </c>
      <c r="AF404" s="55">
        <f>Tabell2[[#This Row],[Befvekst10-I]]*Vekter!$E$3</f>
        <v>9.7845943096382015</v>
      </c>
      <c r="AG404" s="55">
        <f>Tabell2[[#This Row],[Kvinneandel-I]]*Vekter!$F$3</f>
        <v>2.6710662694022562</v>
      </c>
      <c r="AH404" s="55">
        <f>Tabell2[[#This Row],[Eldreandel-I]]*Vekter!$G$3</f>
        <v>3.4194401896731748</v>
      </c>
      <c r="AI404" s="55">
        <f>Tabell2[[#This Row],[Sysselsettingsvekst10-I]]*Vekter!$H$3</f>
        <v>4.8306779160174411</v>
      </c>
      <c r="AJ404" s="55">
        <f>Tabell2[[#This Row],[Yrkesaktivandel-I]]*Vekter!$J$3</f>
        <v>2.5871311406284576</v>
      </c>
      <c r="AK404" s="55">
        <f>Tabell2[[#This Row],[Inntekt-I]]*Vekter!$L$3</f>
        <v>3.2807058277223122</v>
      </c>
      <c r="AL404" s="56">
        <f>SUM(Tabell2[[#This Row],[NIBR11-v]:[Inntekt-v]])</f>
        <v>34.911090049910321</v>
      </c>
    </row>
    <row r="405" spans="1:38" x14ac:dyDescent="0.25">
      <c r="A405" s="2" t="s">
        <v>402</v>
      </c>
      <c r="B405">
        <f>'Rådata-K'!M404</f>
        <v>5</v>
      </c>
      <c r="C405" s="7">
        <f>'Rådata-K'!L404</f>
        <v>250.21666666670001</v>
      </c>
      <c r="D405" s="34">
        <f>'Rådata-K'!N404</f>
        <v>3.8211794885498227</v>
      </c>
      <c r="E405" s="34">
        <f>'Rådata-K'!O404</f>
        <v>2.877697841726623E-2</v>
      </c>
      <c r="F405" s="34">
        <f>'Rådata-K'!P404</f>
        <v>9.5279720279720273E-2</v>
      </c>
      <c r="G405" s="34">
        <f>'Rådata-K'!Q404</f>
        <v>0.20174825174825176</v>
      </c>
      <c r="H405" s="34">
        <f>'Rådata-K'!R404</f>
        <v>0.10258780036968584</v>
      </c>
      <c r="I405" s="34">
        <f>'Rådata-K'!S404</f>
        <v>0.87196679438058744</v>
      </c>
      <c r="J405" s="22">
        <f>'Rådata-K'!K404</f>
        <v>339000</v>
      </c>
      <c r="K405" s="22">
        <f>Tabell2[[#This Row],[NIBR11]]</f>
        <v>5</v>
      </c>
      <c r="L405" s="32">
        <f>IF(Tabell2[[#This Row],[ReisetidOslo]]&lt;=C$434,C$434,IF(Tabell2[[#This Row],[ReisetidOslo]]&gt;=C$435,C$435,Tabell2[[#This Row],[ReisetidOslo]]))</f>
        <v>250.21666666670001</v>
      </c>
      <c r="M405" s="32">
        <f>IF(Tabell2[[#This Row],[Beftettotal]]&lt;=D$434,D$434,IF(Tabell2[[#This Row],[Beftettotal]]&gt;=D$435,D$435,Tabell2[[#This Row],[Beftettotal]]))</f>
        <v>3.8211794885498227</v>
      </c>
      <c r="N405" s="34">
        <f>IF(Tabell2[[#This Row],[Befvekst10]]&lt;=E$434,E$434,IF(Tabell2[[#This Row],[Befvekst10]]&gt;=E$435,E$435,Tabell2[[#This Row],[Befvekst10]]))</f>
        <v>2.877697841726623E-2</v>
      </c>
      <c r="O405" s="34">
        <f>IF(Tabell2[[#This Row],[Kvinneandel]]&lt;=F$434,F$434,IF(Tabell2[[#This Row],[Kvinneandel]]&gt;=F$435,F$435,Tabell2[[#This Row],[Kvinneandel]]))</f>
        <v>9.5279720279720273E-2</v>
      </c>
      <c r="P405" s="34">
        <f>IF(Tabell2[[#This Row],[Eldreandel]]&lt;=G$434,G$434,IF(Tabell2[[#This Row],[Eldreandel]]&gt;=G$435,G$435,Tabell2[[#This Row],[Eldreandel]]))</f>
        <v>0.20174825174825176</v>
      </c>
      <c r="Q405" s="34">
        <f>IF(Tabell2[[#This Row],[Sysselsettingsvekst10]]&lt;=H$434,H$434,IF(Tabell2[[#This Row],[Sysselsettingsvekst10]]&gt;=H$435,H$435,Tabell2[[#This Row],[Sysselsettingsvekst10]]))</f>
        <v>0.10258780036968584</v>
      </c>
      <c r="R405" s="34">
        <f>IF(Tabell2[[#This Row],[Yrkesaktivandel]]&lt;=I$434,I$434,IF(Tabell2[[#This Row],[Yrkesaktivandel]]&gt;=I$435,I$435,Tabell2[[#This Row],[Yrkesaktivandel]]))</f>
        <v>0.87196679438058744</v>
      </c>
      <c r="S405" s="22">
        <f>IF(Tabell2[[#This Row],[Inntekt]]&lt;=J$434,J$434,IF(Tabell2[[#This Row],[Inntekt]]&gt;=J$435,J$435,Tabell2[[#This Row],[Inntekt]]))</f>
        <v>339000</v>
      </c>
      <c r="T405" s="22">
        <f>IF(Tabell2[[#This Row],[NIBR11-T]]&lt;=K$437,100,IF(Tabell2[[#This Row],[NIBR11-T]]&gt;=K$436,0,100*(K$436-Tabell2[[#This Row],[NIBR11-T]])/K$439))</f>
        <v>60</v>
      </c>
      <c r="U405" s="7">
        <f>IF(Tabell2[[#This Row],[ReisetidOslo-T]]&lt;=L$437,100,IF(Tabell2[[#This Row],[ReisetidOslo-T]]&gt;=L$436,0,100*(L$436-Tabell2[[#This Row],[ReisetidOslo-T]])/L$439))</f>
        <v>13.268007312608514</v>
      </c>
      <c r="V405" s="7">
        <f>100-(M$436-Tabell2[[#This Row],[Beftettotal-T]])*100/M$439</f>
        <v>1.9272799373469809</v>
      </c>
      <c r="W405" s="7">
        <f>100-(N$436-Tabell2[[#This Row],[Befvekst10-T]])*100/N$439</f>
        <v>42.266021285442037</v>
      </c>
      <c r="X405" s="7">
        <f>100-(O$436-Tabell2[[#This Row],[Kvinneandel-T]])*100/O$439</f>
        <v>12.656226149877696</v>
      </c>
      <c r="Y405" s="7">
        <f>(P$436-Tabell2[[#This Row],[Eldreandel-T]])*100/P$439</f>
        <v>13.846662536354714</v>
      </c>
      <c r="Z405" s="7">
        <f>100-(Q$436-Tabell2[[#This Row],[Sysselsettingsvekst10-T]])*100/Q$439</f>
        <v>51.272629458514643</v>
      </c>
      <c r="AA405" s="7">
        <f>100-(R$436-Tabell2[[#This Row],[Yrkesaktivandel-T]])*100/R$439</f>
        <v>30.748954415990426</v>
      </c>
      <c r="AB405" s="7">
        <f>100-(S$436-Tabell2[[#This Row],[Inntekt-T]])*100/S$439</f>
        <v>8.5442303227304421</v>
      </c>
      <c r="AC405" s="55">
        <f>Tabell2[[#This Row],[NIBR11-I]]*Vekter!$B$3</f>
        <v>12</v>
      </c>
      <c r="AD405" s="55">
        <f>Tabell2[[#This Row],[ReisetidOslo-I]]*Vekter!$C$3</f>
        <v>1.3268007312608514</v>
      </c>
      <c r="AE405" s="55">
        <f>Tabell2[[#This Row],[Beftettotal-I]]*Vekter!$D$3</f>
        <v>0.19272799373469809</v>
      </c>
      <c r="AF405" s="55">
        <f>Tabell2[[#This Row],[Befvekst10-I]]*Vekter!$E$3</f>
        <v>8.4532042570884069</v>
      </c>
      <c r="AG405" s="55">
        <f>Tabell2[[#This Row],[Kvinneandel-I]]*Vekter!$F$3</f>
        <v>0.63281130749388481</v>
      </c>
      <c r="AH405" s="55">
        <f>Tabell2[[#This Row],[Eldreandel-I]]*Vekter!$G$3</f>
        <v>0.69233312681773573</v>
      </c>
      <c r="AI405" s="55">
        <f>Tabell2[[#This Row],[Sysselsettingsvekst10-I]]*Vekter!$H$3</f>
        <v>5.1272629458514647</v>
      </c>
      <c r="AJ405" s="55">
        <f>Tabell2[[#This Row],[Yrkesaktivandel-I]]*Vekter!$J$3</f>
        <v>3.0748954415990428</v>
      </c>
      <c r="AK405" s="55">
        <f>Tabell2[[#This Row],[Inntekt-I]]*Vekter!$L$3</f>
        <v>0.85442303227304428</v>
      </c>
      <c r="AL405" s="56">
        <f>SUM(Tabell2[[#This Row],[NIBR11-v]:[Inntekt-v]])</f>
        <v>32.354458836119129</v>
      </c>
    </row>
    <row r="406" spans="1:38" x14ac:dyDescent="0.25">
      <c r="A406" s="2" t="s">
        <v>403</v>
      </c>
      <c r="B406">
        <f>'Rådata-K'!M405</f>
        <v>4</v>
      </c>
      <c r="C406" s="7">
        <f>'Rådata-K'!L405</f>
        <v>260.81666666670003</v>
      </c>
      <c r="D406" s="34">
        <f>'Rådata-K'!N405</f>
        <v>2.0969411592264491</v>
      </c>
      <c r="E406" s="34">
        <f>'Rådata-K'!O405</f>
        <v>-3.499156829679595E-2</v>
      </c>
      <c r="F406" s="34">
        <f>'Rådata-K'!P405</f>
        <v>9.6985583224115338E-2</v>
      </c>
      <c r="G406" s="34">
        <f>'Rådata-K'!Q405</f>
        <v>0.21494102228047182</v>
      </c>
      <c r="H406" s="34">
        <f>'Rådata-K'!R405</f>
        <v>4.3956043956044022E-2</v>
      </c>
      <c r="I406" s="34">
        <f>'Rådata-K'!S405</f>
        <v>0.86286594761171032</v>
      </c>
      <c r="J406" s="22">
        <f>'Rådata-K'!K405</f>
        <v>335900</v>
      </c>
      <c r="K406" s="22">
        <f>Tabell2[[#This Row],[NIBR11]]</f>
        <v>4</v>
      </c>
      <c r="L406" s="32">
        <f>IF(Tabell2[[#This Row],[ReisetidOslo]]&lt;=C$434,C$434,IF(Tabell2[[#This Row],[ReisetidOslo]]&gt;=C$435,C$435,Tabell2[[#This Row],[ReisetidOslo]]))</f>
        <v>260.81666666670003</v>
      </c>
      <c r="M406" s="32">
        <f>IF(Tabell2[[#This Row],[Beftettotal]]&lt;=D$434,D$434,IF(Tabell2[[#This Row],[Beftettotal]]&gt;=D$435,D$435,Tabell2[[#This Row],[Beftettotal]]))</f>
        <v>2.0969411592264491</v>
      </c>
      <c r="N406" s="34">
        <f>IF(Tabell2[[#This Row],[Befvekst10]]&lt;=E$434,E$434,IF(Tabell2[[#This Row],[Befvekst10]]&gt;=E$435,E$435,Tabell2[[#This Row],[Befvekst10]]))</f>
        <v>-3.499156829679595E-2</v>
      </c>
      <c r="O406" s="34">
        <f>IF(Tabell2[[#This Row],[Kvinneandel]]&lt;=F$434,F$434,IF(Tabell2[[#This Row],[Kvinneandel]]&gt;=F$435,F$435,Tabell2[[#This Row],[Kvinneandel]]))</f>
        <v>9.6985583224115338E-2</v>
      </c>
      <c r="P406" s="34">
        <f>IF(Tabell2[[#This Row],[Eldreandel]]&lt;=G$434,G$434,IF(Tabell2[[#This Row],[Eldreandel]]&gt;=G$435,G$435,Tabell2[[#This Row],[Eldreandel]]))</f>
        <v>0.21438492803547596</v>
      </c>
      <c r="Q406" s="34">
        <f>IF(Tabell2[[#This Row],[Sysselsettingsvekst10]]&lt;=H$434,H$434,IF(Tabell2[[#This Row],[Sysselsettingsvekst10]]&gt;=H$435,H$435,Tabell2[[#This Row],[Sysselsettingsvekst10]]))</f>
        <v>4.3956043956044022E-2</v>
      </c>
      <c r="R406" s="34">
        <f>IF(Tabell2[[#This Row],[Yrkesaktivandel]]&lt;=I$434,I$434,IF(Tabell2[[#This Row],[Yrkesaktivandel]]&gt;=I$435,I$435,Tabell2[[#This Row],[Yrkesaktivandel]]))</f>
        <v>0.86286594761171032</v>
      </c>
      <c r="S406" s="22">
        <f>IF(Tabell2[[#This Row],[Inntekt]]&lt;=J$434,J$434,IF(Tabell2[[#This Row],[Inntekt]]&gt;=J$435,J$435,Tabell2[[#This Row],[Inntekt]]))</f>
        <v>335900</v>
      </c>
      <c r="T406" s="22">
        <f>IF(Tabell2[[#This Row],[NIBR11-T]]&lt;=K$437,100,IF(Tabell2[[#This Row],[NIBR11-T]]&gt;=K$436,0,100*(K$436-Tabell2[[#This Row],[NIBR11-T]])/K$439))</f>
        <v>70</v>
      </c>
      <c r="U406" s="7">
        <f>IF(Tabell2[[#This Row],[ReisetidOslo-T]]&lt;=L$437,100,IF(Tabell2[[#This Row],[ReisetidOslo-T]]&gt;=L$436,0,100*(L$436-Tabell2[[#This Row],[ReisetidOslo-T]])/L$439))</f>
        <v>8.6171846435047765</v>
      </c>
      <c r="V406" s="7">
        <f>100-(M$436-Tabell2[[#This Row],[Beftettotal-T]])*100/M$439</f>
        <v>0.59345954863385941</v>
      </c>
      <c r="W406" s="7">
        <f>100-(N$436-Tabell2[[#This Row],[Befvekst10-T]])*100/N$439</f>
        <v>16.590473369498</v>
      </c>
      <c r="X406" s="7">
        <f>100-(O$436-Tabell2[[#This Row],[Kvinneandel-T]])*100/O$439</f>
        <v>17.163937369615724</v>
      </c>
      <c r="Y406" s="7">
        <f>(P$436-Tabell2[[#This Row],[Eldreandel-T]])*100/P$439</f>
        <v>0</v>
      </c>
      <c r="Z406" s="7">
        <f>100-(Q$436-Tabell2[[#This Row],[Sysselsettingsvekst10-T]])*100/Q$439</f>
        <v>33.827283612599274</v>
      </c>
      <c r="AA406" s="7">
        <f>100-(R$436-Tabell2[[#This Row],[Yrkesaktivandel-T]])*100/R$439</f>
        <v>23.751388429023621</v>
      </c>
      <c r="AB406" s="7">
        <f>100-(S$436-Tabell2[[#This Row],[Inntekt-T]])*100/S$439</f>
        <v>4.9454376596238632</v>
      </c>
      <c r="AC406" s="55">
        <f>Tabell2[[#This Row],[NIBR11-I]]*Vekter!$B$3</f>
        <v>14</v>
      </c>
      <c r="AD406" s="55">
        <f>Tabell2[[#This Row],[ReisetidOslo-I]]*Vekter!$C$3</f>
        <v>0.86171846435047772</v>
      </c>
      <c r="AE406" s="55">
        <f>Tabell2[[#This Row],[Beftettotal-I]]*Vekter!$D$3</f>
        <v>5.9345954863385945E-2</v>
      </c>
      <c r="AF406" s="55">
        <f>Tabell2[[#This Row],[Befvekst10-I]]*Vekter!$E$3</f>
        <v>3.3180946738996</v>
      </c>
      <c r="AG406" s="55">
        <f>Tabell2[[#This Row],[Kvinneandel-I]]*Vekter!$F$3</f>
        <v>0.85819686848078625</v>
      </c>
      <c r="AH406" s="55">
        <f>Tabell2[[#This Row],[Eldreandel-I]]*Vekter!$G$3</f>
        <v>0</v>
      </c>
      <c r="AI406" s="55">
        <f>Tabell2[[#This Row],[Sysselsettingsvekst10-I]]*Vekter!$H$3</f>
        <v>3.3827283612599275</v>
      </c>
      <c r="AJ406" s="55">
        <f>Tabell2[[#This Row],[Yrkesaktivandel-I]]*Vekter!$J$3</f>
        <v>2.3751388429023623</v>
      </c>
      <c r="AK406" s="55">
        <f>Tabell2[[#This Row],[Inntekt-I]]*Vekter!$L$3</f>
        <v>0.49454376596238636</v>
      </c>
      <c r="AL406" s="56">
        <f>SUM(Tabell2[[#This Row],[NIBR11-v]:[Inntekt-v]])</f>
        <v>25.349766931718928</v>
      </c>
    </row>
    <row r="407" spans="1:38" x14ac:dyDescent="0.25">
      <c r="A407" s="2" t="s">
        <v>404</v>
      </c>
      <c r="B407">
        <f>'Rådata-K'!M406</f>
        <v>11</v>
      </c>
      <c r="C407" s="7">
        <f>'Rådata-K'!L406</f>
        <v>297.03333333329999</v>
      </c>
      <c r="D407" s="34">
        <f>'Rådata-K'!N406</f>
        <v>3.596042138426701</v>
      </c>
      <c r="E407" s="34">
        <f>'Rådata-K'!O406</f>
        <v>-7.4730842305256506E-2</v>
      </c>
      <c r="F407" s="34">
        <f>'Rådata-K'!P406</f>
        <v>8.5215605749486653E-2</v>
      </c>
      <c r="G407" s="34">
        <f>'Rådata-K'!Q406</f>
        <v>0.21560574948665298</v>
      </c>
      <c r="H407" s="34">
        <f>'Rådata-K'!R406</f>
        <v>2.2508038585209E-2</v>
      </c>
      <c r="I407" s="34">
        <f>'Rådata-K'!S406</f>
        <v>0.90460947503201028</v>
      </c>
      <c r="J407" s="22">
        <f>'Rådata-K'!K406</f>
        <v>341300</v>
      </c>
      <c r="K407" s="22">
        <f>Tabell2[[#This Row],[NIBR11]]</f>
        <v>11</v>
      </c>
      <c r="L407" s="32">
        <f>IF(Tabell2[[#This Row],[ReisetidOslo]]&lt;=C$434,C$434,IF(Tabell2[[#This Row],[ReisetidOslo]]&gt;=C$435,C$435,Tabell2[[#This Row],[ReisetidOslo]]))</f>
        <v>280.45666666669001</v>
      </c>
      <c r="M407" s="32">
        <f>IF(Tabell2[[#This Row],[Beftettotal]]&lt;=D$434,D$434,IF(Tabell2[[#This Row],[Beftettotal]]&gt;=D$435,D$435,Tabell2[[#This Row],[Beftettotal]]))</f>
        <v>3.596042138426701</v>
      </c>
      <c r="N407" s="34">
        <f>IF(Tabell2[[#This Row],[Befvekst10]]&lt;=E$434,E$434,IF(Tabell2[[#This Row],[Befvekst10]]&gt;=E$435,E$435,Tabell2[[#This Row],[Befvekst10]]))</f>
        <v>-7.4730842305256506E-2</v>
      </c>
      <c r="O407" s="34">
        <f>IF(Tabell2[[#This Row],[Kvinneandel]]&lt;=F$434,F$434,IF(Tabell2[[#This Row],[Kvinneandel]]&gt;=F$435,F$435,Tabell2[[#This Row],[Kvinneandel]]))</f>
        <v>9.0490197137593403E-2</v>
      </c>
      <c r="P407" s="34">
        <f>IF(Tabell2[[#This Row],[Eldreandel]]&lt;=G$434,G$434,IF(Tabell2[[#This Row],[Eldreandel]]&gt;=G$435,G$435,Tabell2[[#This Row],[Eldreandel]]))</f>
        <v>0.21438492803547596</v>
      </c>
      <c r="Q407" s="34">
        <f>IF(Tabell2[[#This Row],[Sysselsettingsvekst10]]&lt;=H$434,H$434,IF(Tabell2[[#This Row],[Sysselsettingsvekst10]]&gt;=H$435,H$435,Tabell2[[#This Row],[Sysselsettingsvekst10]]))</f>
        <v>2.2508038585209E-2</v>
      </c>
      <c r="R407" s="34">
        <f>IF(Tabell2[[#This Row],[Yrkesaktivandel]]&lt;=I$434,I$434,IF(Tabell2[[#This Row],[Yrkesaktivandel]]&gt;=I$435,I$435,Tabell2[[#This Row],[Yrkesaktivandel]]))</f>
        <v>0.90460947503201028</v>
      </c>
      <c r="S407" s="22">
        <f>IF(Tabell2[[#This Row],[Inntekt]]&lt;=J$434,J$434,IF(Tabell2[[#This Row],[Inntekt]]&gt;=J$435,J$435,Tabell2[[#This Row],[Inntekt]]))</f>
        <v>341300</v>
      </c>
      <c r="T407" s="22">
        <f>IF(Tabell2[[#This Row],[NIBR11-T]]&lt;=K$437,100,IF(Tabell2[[#This Row],[NIBR11-T]]&gt;=K$436,0,100*(K$436-Tabell2[[#This Row],[NIBR11-T]])/K$439))</f>
        <v>0</v>
      </c>
      <c r="U407" s="7">
        <f>IF(Tabell2[[#This Row],[ReisetidOslo-T]]&lt;=L$437,100,IF(Tabell2[[#This Row],[ReisetidOslo-T]]&gt;=L$436,0,100*(L$436-Tabell2[[#This Row],[ReisetidOslo-T]])/L$439))</f>
        <v>0</v>
      </c>
      <c r="V407" s="7">
        <f>100-(M$436-Tabell2[[#This Row],[Beftettotal-T]])*100/M$439</f>
        <v>1.7531202618844333</v>
      </c>
      <c r="W407" s="7">
        <f>100-(N$436-Tabell2[[#This Row],[Befvekst10-T]])*100/N$439</f>
        <v>0.58998901591533581</v>
      </c>
      <c r="X407" s="7">
        <f>100-(O$436-Tabell2[[#This Row],[Kvinneandel-T]])*100/O$439</f>
        <v>0</v>
      </c>
      <c r="Y407" s="7">
        <f>(P$436-Tabell2[[#This Row],[Eldreandel-T]])*100/P$439</f>
        <v>0</v>
      </c>
      <c r="Z407" s="7">
        <f>100-(Q$436-Tabell2[[#This Row],[Sysselsettingsvekst10-T]])*100/Q$439</f>
        <v>27.445624691117445</v>
      </c>
      <c r="AA407" s="7">
        <f>100-(R$436-Tabell2[[#This Row],[Yrkesaktivandel-T]])*100/R$439</f>
        <v>55.847642225014823</v>
      </c>
      <c r="AB407" s="7">
        <f>100-(S$436-Tabell2[[#This Row],[Inntekt-T]])*100/S$439</f>
        <v>11.214302298583704</v>
      </c>
      <c r="AC407" s="55">
        <f>Tabell2[[#This Row],[NIBR11-I]]*Vekter!$B$3</f>
        <v>0</v>
      </c>
      <c r="AD407" s="55">
        <f>Tabell2[[#This Row],[ReisetidOslo-I]]*Vekter!$C$3</f>
        <v>0</v>
      </c>
      <c r="AE407" s="55">
        <f>Tabell2[[#This Row],[Beftettotal-I]]*Vekter!$D$3</f>
        <v>0.17531202618844333</v>
      </c>
      <c r="AF407" s="55">
        <f>Tabell2[[#This Row],[Befvekst10-I]]*Vekter!$E$3</f>
        <v>0.11799780318306717</v>
      </c>
      <c r="AG407" s="55">
        <f>Tabell2[[#This Row],[Kvinneandel-I]]*Vekter!$F$3</f>
        <v>0</v>
      </c>
      <c r="AH407" s="55">
        <f>Tabell2[[#This Row],[Eldreandel-I]]*Vekter!$G$3</f>
        <v>0</v>
      </c>
      <c r="AI407" s="55">
        <f>Tabell2[[#This Row],[Sysselsettingsvekst10-I]]*Vekter!$H$3</f>
        <v>2.7445624691117447</v>
      </c>
      <c r="AJ407" s="55">
        <f>Tabell2[[#This Row],[Yrkesaktivandel-I]]*Vekter!$J$3</f>
        <v>5.5847642225014829</v>
      </c>
      <c r="AK407" s="55">
        <f>Tabell2[[#This Row],[Inntekt-I]]*Vekter!$L$3</f>
        <v>1.1214302298583705</v>
      </c>
      <c r="AL407" s="56">
        <f>SUM(Tabell2[[#This Row],[NIBR11-v]:[Inntekt-v]])</f>
        <v>9.7440667508431087</v>
      </c>
    </row>
    <row r="408" spans="1:38" x14ac:dyDescent="0.25">
      <c r="A408" s="2" t="s">
        <v>405</v>
      </c>
      <c r="B408">
        <f>'Rådata-K'!M407</f>
        <v>10</v>
      </c>
      <c r="C408" s="7">
        <f>'Rådata-K'!L407</f>
        <v>275.55</v>
      </c>
      <c r="D408" s="34">
        <f>'Rådata-K'!N407</f>
        <v>1.2302068277127098</v>
      </c>
      <c r="E408" s="34">
        <f>'Rådata-K'!O407</f>
        <v>-1.8614270941054833E-2</v>
      </c>
      <c r="F408" s="34">
        <f>'Rådata-K'!P407</f>
        <v>9.799789251844046E-2</v>
      </c>
      <c r="G408" s="34">
        <f>'Rådata-K'!Q407</f>
        <v>0.16174920969441517</v>
      </c>
      <c r="H408" s="34">
        <f>'Rådata-K'!R407</f>
        <v>0.12937595129375956</v>
      </c>
      <c r="I408" s="34">
        <f>'Rådata-K'!S407</f>
        <v>0.86493987049028676</v>
      </c>
      <c r="J408" s="22">
        <f>'Rådata-K'!K407</f>
        <v>328400</v>
      </c>
      <c r="K408" s="22">
        <f>Tabell2[[#This Row],[NIBR11]]</f>
        <v>10</v>
      </c>
      <c r="L408" s="32">
        <f>IF(Tabell2[[#This Row],[ReisetidOslo]]&lt;=C$434,C$434,IF(Tabell2[[#This Row],[ReisetidOslo]]&gt;=C$435,C$435,Tabell2[[#This Row],[ReisetidOslo]]))</f>
        <v>275.55</v>
      </c>
      <c r="M408" s="32">
        <f>IF(Tabell2[[#This Row],[Beftettotal]]&lt;=D$434,D$434,IF(Tabell2[[#This Row],[Beftettotal]]&gt;=D$435,D$435,Tabell2[[#This Row],[Beftettotal]]))</f>
        <v>1.3297721240876861</v>
      </c>
      <c r="N408" s="34">
        <f>IF(Tabell2[[#This Row],[Befvekst10]]&lt;=E$434,E$434,IF(Tabell2[[#This Row],[Befvekst10]]&gt;=E$435,E$435,Tabell2[[#This Row],[Befvekst10]]))</f>
        <v>-1.8614270941054833E-2</v>
      </c>
      <c r="O408" s="34">
        <f>IF(Tabell2[[#This Row],[Kvinneandel]]&lt;=F$434,F$434,IF(Tabell2[[#This Row],[Kvinneandel]]&gt;=F$435,F$435,Tabell2[[#This Row],[Kvinneandel]]))</f>
        <v>9.799789251844046E-2</v>
      </c>
      <c r="P408" s="34">
        <f>IF(Tabell2[[#This Row],[Eldreandel]]&lt;=G$434,G$434,IF(Tabell2[[#This Row],[Eldreandel]]&gt;=G$435,G$435,Tabell2[[#This Row],[Eldreandel]]))</f>
        <v>0.16174920969441517</v>
      </c>
      <c r="Q408" s="34">
        <f>IF(Tabell2[[#This Row],[Sysselsettingsvekst10]]&lt;=H$434,H$434,IF(Tabell2[[#This Row],[Sysselsettingsvekst10]]&gt;=H$435,H$435,Tabell2[[#This Row],[Sysselsettingsvekst10]]))</f>
        <v>0.12937595129375956</v>
      </c>
      <c r="R408" s="34">
        <f>IF(Tabell2[[#This Row],[Yrkesaktivandel]]&lt;=I$434,I$434,IF(Tabell2[[#This Row],[Yrkesaktivandel]]&gt;=I$435,I$435,Tabell2[[#This Row],[Yrkesaktivandel]]))</f>
        <v>0.86493987049028676</v>
      </c>
      <c r="S408" s="22">
        <f>IF(Tabell2[[#This Row],[Inntekt]]&lt;=J$434,J$434,IF(Tabell2[[#This Row],[Inntekt]]&gt;=J$435,J$435,Tabell2[[#This Row],[Inntekt]]))</f>
        <v>331640</v>
      </c>
      <c r="T408" s="22">
        <f>IF(Tabell2[[#This Row],[NIBR11-T]]&lt;=K$437,100,IF(Tabell2[[#This Row],[NIBR11-T]]&gt;=K$436,0,100*(K$436-Tabell2[[#This Row],[NIBR11-T]])/K$439))</f>
        <v>10</v>
      </c>
      <c r="U408" s="7">
        <f>IF(Tabell2[[#This Row],[ReisetidOslo-T]]&lt;=L$437,100,IF(Tabell2[[#This Row],[ReisetidOslo-T]]&gt;=L$436,0,100*(L$436-Tabell2[[#This Row],[ReisetidOslo-T]])/L$439))</f>
        <v>2.1528336380356112</v>
      </c>
      <c r="V408" s="7">
        <f>100-(M$436-Tabell2[[#This Row],[Beftettotal-T]])*100/M$439</f>
        <v>0</v>
      </c>
      <c r="W408" s="7">
        <f>100-(N$436-Tabell2[[#This Row],[Befvekst10-T]])*100/N$439</f>
        <v>23.18457194408991</v>
      </c>
      <c r="X408" s="7">
        <f>100-(O$436-Tabell2[[#This Row],[Kvinneandel-T]])*100/O$439</f>
        <v>19.83894592107508</v>
      </c>
      <c r="Y408" s="7">
        <f>(P$436-Tabell2[[#This Row],[Eldreandel-T]])*100/P$439</f>
        <v>57.675690400025367</v>
      </c>
      <c r="Z408" s="7">
        <f>100-(Q$436-Tabell2[[#This Row],[Sysselsettingsvekst10-T]])*100/Q$439</f>
        <v>59.243200118995659</v>
      </c>
      <c r="AA408" s="7">
        <f>100-(R$436-Tabell2[[#This Row],[Yrkesaktivandel-T]])*100/R$439</f>
        <v>25.346010617845437</v>
      </c>
      <c r="AB408" s="7">
        <f>100-(S$436-Tabell2[[#This Row],[Inntekt-T]])*100/S$439</f>
        <v>0</v>
      </c>
      <c r="AC408" s="55">
        <f>Tabell2[[#This Row],[NIBR11-I]]*Vekter!$B$3</f>
        <v>2</v>
      </c>
      <c r="AD408" s="55">
        <f>Tabell2[[#This Row],[ReisetidOslo-I]]*Vekter!$C$3</f>
        <v>0.21528336380356114</v>
      </c>
      <c r="AE408" s="55">
        <f>Tabell2[[#This Row],[Beftettotal-I]]*Vekter!$D$3</f>
        <v>0</v>
      </c>
      <c r="AF408" s="55">
        <f>Tabell2[[#This Row],[Befvekst10-I]]*Vekter!$E$3</f>
        <v>4.6369143888179822</v>
      </c>
      <c r="AG408" s="55">
        <f>Tabell2[[#This Row],[Kvinneandel-I]]*Vekter!$F$3</f>
        <v>0.99194729605375409</v>
      </c>
      <c r="AH408" s="55">
        <f>Tabell2[[#This Row],[Eldreandel-I]]*Vekter!$G$3</f>
        <v>2.8837845200012686</v>
      </c>
      <c r="AI408" s="55">
        <f>Tabell2[[#This Row],[Sysselsettingsvekst10-I]]*Vekter!$H$3</f>
        <v>5.9243200118995665</v>
      </c>
      <c r="AJ408" s="55">
        <f>Tabell2[[#This Row],[Yrkesaktivandel-I]]*Vekter!$J$3</f>
        <v>2.534601061784544</v>
      </c>
      <c r="AK408" s="55">
        <f>Tabell2[[#This Row],[Inntekt-I]]*Vekter!$L$3</f>
        <v>0</v>
      </c>
      <c r="AL408" s="56">
        <f>SUM(Tabell2[[#This Row],[NIBR11-v]:[Inntekt-v]])</f>
        <v>19.186850642360675</v>
      </c>
    </row>
    <row r="409" spans="1:38" x14ac:dyDescent="0.25">
      <c r="A409" s="2" t="s">
        <v>406</v>
      </c>
      <c r="B409">
        <f>'Rådata-K'!M408</f>
        <v>11</v>
      </c>
      <c r="C409" s="7">
        <f>'Rådata-K'!L408</f>
        <v>297.56666666670003</v>
      </c>
      <c r="D409" s="34">
        <f>'Rådata-K'!N408</f>
        <v>2.2014164934724265</v>
      </c>
      <c r="E409" s="34">
        <f>'Rådata-K'!O408</f>
        <v>-4.6328671328671356E-2</v>
      </c>
      <c r="F409" s="34">
        <f>'Rådata-K'!P408</f>
        <v>9.3950504124656276E-2</v>
      </c>
      <c r="G409" s="34">
        <f>'Rådata-K'!Q408</f>
        <v>0.21448212648945922</v>
      </c>
      <c r="H409" s="34">
        <f>'Rådata-K'!R408</f>
        <v>0.1001494768310911</v>
      </c>
      <c r="I409" s="34">
        <f>'Rådata-K'!S408</f>
        <v>0.84938271604938276</v>
      </c>
      <c r="J409" s="22">
        <f>'Rådata-K'!K408</f>
        <v>306100</v>
      </c>
      <c r="K409" s="22">
        <f>Tabell2[[#This Row],[NIBR11]]</f>
        <v>11</v>
      </c>
      <c r="L409" s="32">
        <f>IF(Tabell2[[#This Row],[ReisetidOslo]]&lt;=C$434,C$434,IF(Tabell2[[#This Row],[ReisetidOslo]]&gt;=C$435,C$435,Tabell2[[#This Row],[ReisetidOslo]]))</f>
        <v>280.45666666669001</v>
      </c>
      <c r="M409" s="32">
        <f>IF(Tabell2[[#This Row],[Beftettotal]]&lt;=D$434,D$434,IF(Tabell2[[#This Row],[Beftettotal]]&gt;=D$435,D$435,Tabell2[[#This Row],[Beftettotal]]))</f>
        <v>2.2014164934724265</v>
      </c>
      <c r="N409" s="34">
        <f>IF(Tabell2[[#This Row],[Befvekst10]]&lt;=E$434,E$434,IF(Tabell2[[#This Row],[Befvekst10]]&gt;=E$435,E$435,Tabell2[[#This Row],[Befvekst10]]))</f>
        <v>-4.6328671328671356E-2</v>
      </c>
      <c r="O409" s="34">
        <f>IF(Tabell2[[#This Row],[Kvinneandel]]&lt;=F$434,F$434,IF(Tabell2[[#This Row],[Kvinneandel]]&gt;=F$435,F$435,Tabell2[[#This Row],[Kvinneandel]]))</f>
        <v>9.3950504124656276E-2</v>
      </c>
      <c r="P409" s="34">
        <f>IF(Tabell2[[#This Row],[Eldreandel]]&lt;=G$434,G$434,IF(Tabell2[[#This Row],[Eldreandel]]&gt;=G$435,G$435,Tabell2[[#This Row],[Eldreandel]]))</f>
        <v>0.21438492803547596</v>
      </c>
      <c r="Q409" s="34">
        <f>IF(Tabell2[[#This Row],[Sysselsettingsvekst10]]&lt;=H$434,H$434,IF(Tabell2[[#This Row],[Sysselsettingsvekst10]]&gt;=H$435,H$435,Tabell2[[#This Row],[Sysselsettingsvekst10]]))</f>
        <v>0.1001494768310911</v>
      </c>
      <c r="R409" s="34">
        <f>IF(Tabell2[[#This Row],[Yrkesaktivandel]]&lt;=I$434,I$434,IF(Tabell2[[#This Row],[Yrkesaktivandel]]&gt;=I$435,I$435,Tabell2[[#This Row],[Yrkesaktivandel]]))</f>
        <v>0.84938271604938276</v>
      </c>
      <c r="S409" s="22">
        <f>IF(Tabell2[[#This Row],[Inntekt]]&lt;=J$434,J$434,IF(Tabell2[[#This Row],[Inntekt]]&gt;=J$435,J$435,Tabell2[[#This Row],[Inntekt]]))</f>
        <v>331640</v>
      </c>
      <c r="T409" s="22">
        <f>IF(Tabell2[[#This Row],[NIBR11-T]]&lt;=K$437,100,IF(Tabell2[[#This Row],[NIBR11-T]]&gt;=K$436,0,100*(K$436-Tabell2[[#This Row],[NIBR11-T]])/K$439))</f>
        <v>0</v>
      </c>
      <c r="U409" s="7">
        <f>IF(Tabell2[[#This Row],[ReisetidOslo-T]]&lt;=L$437,100,IF(Tabell2[[#This Row],[ReisetidOslo-T]]&gt;=L$436,0,100*(L$436-Tabell2[[#This Row],[ReisetidOslo-T]])/L$439))</f>
        <v>0</v>
      </c>
      <c r="V409" s="7">
        <f>100-(M$436-Tabell2[[#This Row],[Beftettotal-T]])*100/M$439</f>
        <v>0.6742786144004782</v>
      </c>
      <c r="W409" s="7">
        <f>100-(N$436-Tabell2[[#This Row],[Befvekst10-T]])*100/N$439</f>
        <v>12.025741270017363</v>
      </c>
      <c r="X409" s="7">
        <f>100-(O$436-Tabell2[[#This Row],[Kvinneandel-T]])*100/O$439</f>
        <v>9.1437970914202538</v>
      </c>
      <c r="Y409" s="7">
        <f>(P$436-Tabell2[[#This Row],[Eldreandel-T]])*100/P$439</f>
        <v>0</v>
      </c>
      <c r="Z409" s="7">
        <f>100-(Q$436-Tabell2[[#This Row],[Sysselsettingsvekst10-T]])*100/Q$439</f>
        <v>50.547128466954305</v>
      </c>
      <c r="AA409" s="7">
        <f>100-(R$436-Tabell2[[#This Row],[Yrkesaktivandel-T]])*100/R$439</f>
        <v>13.38424293465097</v>
      </c>
      <c r="AB409" s="7">
        <f>100-(S$436-Tabell2[[#This Row],[Inntekt-T]])*100/S$439</f>
        <v>0</v>
      </c>
      <c r="AC409" s="55">
        <f>Tabell2[[#This Row],[NIBR11-I]]*Vekter!$B$3</f>
        <v>0</v>
      </c>
      <c r="AD409" s="55">
        <f>Tabell2[[#This Row],[ReisetidOslo-I]]*Vekter!$C$3</f>
        <v>0</v>
      </c>
      <c r="AE409" s="55">
        <f>Tabell2[[#This Row],[Beftettotal-I]]*Vekter!$D$3</f>
        <v>6.7427861440047823E-2</v>
      </c>
      <c r="AF409" s="55">
        <f>Tabell2[[#This Row],[Befvekst10-I]]*Vekter!$E$3</f>
        <v>2.405148254003473</v>
      </c>
      <c r="AG409" s="55">
        <f>Tabell2[[#This Row],[Kvinneandel-I]]*Vekter!$F$3</f>
        <v>0.45718985457101269</v>
      </c>
      <c r="AH409" s="55">
        <f>Tabell2[[#This Row],[Eldreandel-I]]*Vekter!$G$3</f>
        <v>0</v>
      </c>
      <c r="AI409" s="55">
        <f>Tabell2[[#This Row],[Sysselsettingsvekst10-I]]*Vekter!$H$3</f>
        <v>5.0547128466954305</v>
      </c>
      <c r="AJ409" s="55">
        <f>Tabell2[[#This Row],[Yrkesaktivandel-I]]*Vekter!$J$3</f>
        <v>1.3384242934650972</v>
      </c>
      <c r="AK409" s="55">
        <f>Tabell2[[#This Row],[Inntekt-I]]*Vekter!$L$3</f>
        <v>0</v>
      </c>
      <c r="AL409" s="56">
        <f>SUM(Tabell2[[#This Row],[NIBR11-v]:[Inntekt-v]])</f>
        <v>9.3229031101750603</v>
      </c>
    </row>
    <row r="410" spans="1:38" x14ac:dyDescent="0.25">
      <c r="A410" s="2" t="s">
        <v>407</v>
      </c>
      <c r="B410">
        <f>'Rådata-K'!M409</f>
        <v>9</v>
      </c>
      <c r="C410" s="7">
        <f>'Rådata-K'!L409</f>
        <v>295.8333333333</v>
      </c>
      <c r="D410" s="34">
        <f>'Rådata-K'!N409</f>
        <v>6.1114629512349588</v>
      </c>
      <c r="E410" s="34">
        <f>'Rådata-K'!O409</f>
        <v>-3.5964035964035967E-2</v>
      </c>
      <c r="F410" s="34">
        <f>'Rådata-K'!P409</f>
        <v>0.11226252158894647</v>
      </c>
      <c r="G410" s="34">
        <f>'Rådata-K'!Q409</f>
        <v>0.18514680483592399</v>
      </c>
      <c r="H410" s="34">
        <f>'Rådata-K'!R409</f>
        <v>2.6197604790419105E-2</v>
      </c>
      <c r="I410" s="34">
        <f>'Rådata-K'!S409</f>
        <v>0.87321317588564329</v>
      </c>
      <c r="J410" s="22">
        <f>'Rådata-K'!K409</f>
        <v>333400</v>
      </c>
      <c r="K410" s="22">
        <f>Tabell2[[#This Row],[NIBR11]]</f>
        <v>9</v>
      </c>
      <c r="L410" s="32">
        <f>IF(Tabell2[[#This Row],[ReisetidOslo]]&lt;=C$434,C$434,IF(Tabell2[[#This Row],[ReisetidOslo]]&gt;=C$435,C$435,Tabell2[[#This Row],[ReisetidOslo]]))</f>
        <v>280.45666666669001</v>
      </c>
      <c r="M410" s="32">
        <f>IF(Tabell2[[#This Row],[Beftettotal]]&lt;=D$434,D$434,IF(Tabell2[[#This Row],[Beftettotal]]&gt;=D$435,D$435,Tabell2[[#This Row],[Beftettotal]]))</f>
        <v>6.1114629512349588</v>
      </c>
      <c r="N410" s="34">
        <f>IF(Tabell2[[#This Row],[Befvekst10]]&lt;=E$434,E$434,IF(Tabell2[[#This Row],[Befvekst10]]&gt;=E$435,E$435,Tabell2[[#This Row],[Befvekst10]]))</f>
        <v>-3.5964035964035967E-2</v>
      </c>
      <c r="O410" s="34">
        <f>IF(Tabell2[[#This Row],[Kvinneandel]]&lt;=F$434,F$434,IF(Tabell2[[#This Row],[Kvinneandel]]&gt;=F$435,F$435,Tabell2[[#This Row],[Kvinneandel]]))</f>
        <v>0.11226252158894647</v>
      </c>
      <c r="P410" s="34">
        <f>IF(Tabell2[[#This Row],[Eldreandel]]&lt;=G$434,G$434,IF(Tabell2[[#This Row],[Eldreandel]]&gt;=G$435,G$435,Tabell2[[#This Row],[Eldreandel]]))</f>
        <v>0.18514680483592399</v>
      </c>
      <c r="Q410" s="34">
        <f>IF(Tabell2[[#This Row],[Sysselsettingsvekst10]]&lt;=H$434,H$434,IF(Tabell2[[#This Row],[Sysselsettingsvekst10]]&gt;=H$435,H$435,Tabell2[[#This Row],[Sysselsettingsvekst10]]))</f>
        <v>2.6197604790419105E-2</v>
      </c>
      <c r="R410" s="34">
        <f>IF(Tabell2[[#This Row],[Yrkesaktivandel]]&lt;=I$434,I$434,IF(Tabell2[[#This Row],[Yrkesaktivandel]]&gt;=I$435,I$435,Tabell2[[#This Row],[Yrkesaktivandel]]))</f>
        <v>0.87321317588564329</v>
      </c>
      <c r="S410" s="22">
        <f>IF(Tabell2[[#This Row],[Inntekt]]&lt;=J$434,J$434,IF(Tabell2[[#This Row],[Inntekt]]&gt;=J$435,J$435,Tabell2[[#This Row],[Inntekt]]))</f>
        <v>333400</v>
      </c>
      <c r="T410" s="22">
        <f>IF(Tabell2[[#This Row],[NIBR11-T]]&lt;=K$437,100,IF(Tabell2[[#This Row],[NIBR11-T]]&gt;=K$436,0,100*(K$436-Tabell2[[#This Row],[NIBR11-T]])/K$439))</f>
        <v>20</v>
      </c>
      <c r="U410" s="7">
        <f>IF(Tabell2[[#This Row],[ReisetidOslo-T]]&lt;=L$437,100,IF(Tabell2[[#This Row],[ReisetidOslo-T]]&gt;=L$436,0,100*(L$436-Tabell2[[#This Row],[ReisetidOslo-T]])/L$439))</f>
        <v>0</v>
      </c>
      <c r="V410" s="7">
        <f>100-(M$436-Tabell2[[#This Row],[Beftettotal-T]])*100/M$439</f>
        <v>3.6989763011905552</v>
      </c>
      <c r="W410" s="7">
        <f>100-(N$436-Tabell2[[#This Row],[Befvekst10-T]])*100/N$439</f>
        <v>16.198922338879626</v>
      </c>
      <c r="X410" s="7">
        <f>100-(O$436-Tabell2[[#This Row],[Kvinneandel-T]])*100/O$439</f>
        <v>57.532963906396603</v>
      </c>
      <c r="Y410" s="7">
        <f>(P$436-Tabell2[[#This Row],[Eldreandel-T]])*100/P$439</f>
        <v>32.037730170382488</v>
      </c>
      <c r="Z410" s="7">
        <f>100-(Q$436-Tabell2[[#This Row],[Sysselsettingsvekst10-T]])*100/Q$439</f>
        <v>28.54342155766868</v>
      </c>
      <c r="AA410" s="7">
        <f>100-(R$436-Tabell2[[#This Row],[Yrkesaktivandel-T]])*100/R$439</f>
        <v>31.707286870986735</v>
      </c>
      <c r="AB410" s="7">
        <f>100-(S$436-Tabell2[[#This Row],[Inntekt-T]])*100/S$439</f>
        <v>2.0431855119572759</v>
      </c>
      <c r="AC410" s="55">
        <f>Tabell2[[#This Row],[NIBR11-I]]*Vekter!$B$3</f>
        <v>4</v>
      </c>
      <c r="AD410" s="55">
        <f>Tabell2[[#This Row],[ReisetidOslo-I]]*Vekter!$C$3</f>
        <v>0</v>
      </c>
      <c r="AE410" s="55">
        <f>Tabell2[[#This Row],[Beftettotal-I]]*Vekter!$D$3</f>
        <v>0.36989763011905552</v>
      </c>
      <c r="AF410" s="55">
        <f>Tabell2[[#This Row],[Befvekst10-I]]*Vekter!$E$3</f>
        <v>3.2397844677759253</v>
      </c>
      <c r="AG410" s="55">
        <f>Tabell2[[#This Row],[Kvinneandel-I]]*Vekter!$F$3</f>
        <v>2.8766481953198304</v>
      </c>
      <c r="AH410" s="55">
        <f>Tabell2[[#This Row],[Eldreandel-I]]*Vekter!$G$3</f>
        <v>1.6018865085191245</v>
      </c>
      <c r="AI410" s="55">
        <f>Tabell2[[#This Row],[Sysselsettingsvekst10-I]]*Vekter!$H$3</f>
        <v>2.8543421557668682</v>
      </c>
      <c r="AJ410" s="55">
        <f>Tabell2[[#This Row],[Yrkesaktivandel-I]]*Vekter!$J$3</f>
        <v>3.1707286870986735</v>
      </c>
      <c r="AK410" s="55">
        <f>Tabell2[[#This Row],[Inntekt-I]]*Vekter!$L$3</f>
        <v>0.20431855119572762</v>
      </c>
      <c r="AL410" s="56">
        <f>SUM(Tabell2[[#This Row],[NIBR11-v]:[Inntekt-v]])</f>
        <v>18.317606195795204</v>
      </c>
    </row>
    <row r="411" spans="1:38" x14ac:dyDescent="0.25">
      <c r="A411" s="2" t="s">
        <v>408</v>
      </c>
      <c r="B411">
        <f>'Rådata-K'!M410</f>
        <v>9</v>
      </c>
      <c r="C411" s="7">
        <f>'Rådata-K'!L410</f>
        <v>264.38333333333003</v>
      </c>
      <c r="D411" s="34">
        <f>'Rådata-K'!N410</f>
        <v>1.4202347081856952</v>
      </c>
      <c r="E411" s="34">
        <f>'Rådata-K'!O410</f>
        <v>2.9089376053963001E-2</v>
      </c>
      <c r="F411" s="34">
        <f>'Rådata-K'!P410</f>
        <v>0.11204424416222859</v>
      </c>
      <c r="G411" s="34">
        <f>'Rådata-K'!Q410</f>
        <v>0.16816878328553872</v>
      </c>
      <c r="H411" s="34">
        <f>'Rådata-K'!R410</f>
        <v>8.9603960396039684E-2</v>
      </c>
      <c r="I411" s="34">
        <f>'Rådata-K'!S410</f>
        <v>0.89908925318761379</v>
      </c>
      <c r="J411" s="22">
        <f>'Rådata-K'!K410</f>
        <v>349900</v>
      </c>
      <c r="K411" s="22">
        <f>Tabell2[[#This Row],[NIBR11]]</f>
        <v>9</v>
      </c>
      <c r="L411" s="32">
        <f>IF(Tabell2[[#This Row],[ReisetidOslo]]&lt;=C$434,C$434,IF(Tabell2[[#This Row],[ReisetidOslo]]&gt;=C$435,C$435,Tabell2[[#This Row],[ReisetidOslo]]))</f>
        <v>264.38333333333003</v>
      </c>
      <c r="M411" s="32">
        <f>IF(Tabell2[[#This Row],[Beftettotal]]&lt;=D$434,D$434,IF(Tabell2[[#This Row],[Beftettotal]]&gt;=D$435,D$435,Tabell2[[#This Row],[Beftettotal]]))</f>
        <v>1.4202347081856952</v>
      </c>
      <c r="N411" s="34">
        <f>IF(Tabell2[[#This Row],[Befvekst10]]&lt;=E$434,E$434,IF(Tabell2[[#This Row],[Befvekst10]]&gt;=E$435,E$435,Tabell2[[#This Row],[Befvekst10]]))</f>
        <v>2.9089376053963001E-2</v>
      </c>
      <c r="O411" s="34">
        <f>IF(Tabell2[[#This Row],[Kvinneandel]]&lt;=F$434,F$434,IF(Tabell2[[#This Row],[Kvinneandel]]&gt;=F$435,F$435,Tabell2[[#This Row],[Kvinneandel]]))</f>
        <v>0.11204424416222859</v>
      </c>
      <c r="P411" s="34">
        <f>IF(Tabell2[[#This Row],[Eldreandel]]&lt;=G$434,G$434,IF(Tabell2[[#This Row],[Eldreandel]]&gt;=G$435,G$435,Tabell2[[#This Row],[Eldreandel]]))</f>
        <v>0.16816878328553872</v>
      </c>
      <c r="Q411" s="34">
        <f>IF(Tabell2[[#This Row],[Sysselsettingsvekst10]]&lt;=H$434,H$434,IF(Tabell2[[#This Row],[Sysselsettingsvekst10]]&gt;=H$435,H$435,Tabell2[[#This Row],[Sysselsettingsvekst10]]))</f>
        <v>8.9603960396039684E-2</v>
      </c>
      <c r="R411" s="34">
        <f>IF(Tabell2[[#This Row],[Yrkesaktivandel]]&lt;=I$434,I$434,IF(Tabell2[[#This Row],[Yrkesaktivandel]]&gt;=I$435,I$435,Tabell2[[#This Row],[Yrkesaktivandel]]))</f>
        <v>0.89908925318761379</v>
      </c>
      <c r="S411" s="22">
        <f>IF(Tabell2[[#This Row],[Inntekt]]&lt;=J$434,J$434,IF(Tabell2[[#This Row],[Inntekt]]&gt;=J$435,J$435,Tabell2[[#This Row],[Inntekt]]))</f>
        <v>349900</v>
      </c>
      <c r="T411" s="22">
        <f>IF(Tabell2[[#This Row],[NIBR11-T]]&lt;=K$437,100,IF(Tabell2[[#This Row],[NIBR11-T]]&gt;=K$436,0,100*(K$436-Tabell2[[#This Row],[NIBR11-T]])/K$439))</f>
        <v>20</v>
      </c>
      <c r="U411" s="7">
        <f>IF(Tabell2[[#This Row],[ReisetidOslo-T]]&lt;=L$437,100,IF(Tabell2[[#This Row],[ReisetidOslo-T]]&gt;=L$436,0,100*(L$436-Tabell2[[#This Row],[ReisetidOslo-T]])/L$439))</f>
        <v>7.0522851919670941</v>
      </c>
      <c r="V411" s="7">
        <f>100-(M$436-Tabell2[[#This Row],[Beftettotal-T]])*100/M$439</f>
        <v>6.9979211709622291E-2</v>
      </c>
      <c r="W411" s="7">
        <f>100-(N$436-Tabell2[[#This Row],[Befvekst10-T]])*100/N$439</f>
        <v>42.391803993425036</v>
      </c>
      <c r="X411" s="7">
        <f>100-(O$436-Tabell2[[#This Row],[Kvinneandel-T]])*100/O$439</f>
        <v>56.956169851127044</v>
      </c>
      <c r="Y411" s="7">
        <f>(P$436-Tabell2[[#This Row],[Eldreandel-T]])*100/P$439</f>
        <v>50.641430194004982</v>
      </c>
      <c r="Z411" s="7">
        <f>100-(Q$436-Tabell2[[#This Row],[Sysselsettingsvekst10-T]])*100/Q$439</f>
        <v>47.409405966619104</v>
      </c>
      <c r="AA411" s="7">
        <f>100-(R$436-Tabell2[[#This Row],[Yrkesaktivandel-T]])*100/R$439</f>
        <v>51.60318919774712</v>
      </c>
      <c r="AB411" s="7">
        <f>100-(S$436-Tabell2[[#This Row],[Inntekt-T]])*100/S$439</f>
        <v>21.198049686556772</v>
      </c>
      <c r="AC411" s="55">
        <f>Tabell2[[#This Row],[NIBR11-I]]*Vekter!$B$3</f>
        <v>4</v>
      </c>
      <c r="AD411" s="55">
        <f>Tabell2[[#This Row],[ReisetidOslo-I]]*Vekter!$C$3</f>
        <v>0.70522851919670948</v>
      </c>
      <c r="AE411" s="55">
        <f>Tabell2[[#This Row],[Beftettotal-I]]*Vekter!$D$3</f>
        <v>6.9979211709622294E-3</v>
      </c>
      <c r="AF411" s="55">
        <f>Tabell2[[#This Row],[Befvekst10-I]]*Vekter!$E$3</f>
        <v>8.4783607986850082</v>
      </c>
      <c r="AG411" s="55">
        <f>Tabell2[[#This Row],[Kvinneandel-I]]*Vekter!$F$3</f>
        <v>2.8478084925563523</v>
      </c>
      <c r="AH411" s="55">
        <f>Tabell2[[#This Row],[Eldreandel-I]]*Vekter!$G$3</f>
        <v>2.5320715097002493</v>
      </c>
      <c r="AI411" s="55">
        <f>Tabell2[[#This Row],[Sysselsettingsvekst10-I]]*Vekter!$H$3</f>
        <v>4.7409405966619103</v>
      </c>
      <c r="AJ411" s="55">
        <f>Tabell2[[#This Row],[Yrkesaktivandel-I]]*Vekter!$J$3</f>
        <v>5.1603189197747126</v>
      </c>
      <c r="AK411" s="55">
        <f>Tabell2[[#This Row],[Inntekt-I]]*Vekter!$L$3</f>
        <v>2.1198049686556772</v>
      </c>
      <c r="AL411" s="56">
        <f>SUM(Tabell2[[#This Row],[NIBR11-v]:[Inntekt-v]])</f>
        <v>30.591531726401584</v>
      </c>
    </row>
    <row r="412" spans="1:38" x14ac:dyDescent="0.25">
      <c r="A412" s="2" t="s">
        <v>409</v>
      </c>
      <c r="B412">
        <f>'Rådata-K'!M411</f>
        <v>11</v>
      </c>
      <c r="C412" s="7">
        <f>'Rådata-K'!L411</f>
        <v>292.60000000000002</v>
      </c>
      <c r="D412" s="34">
        <f>'Rådata-K'!N411</f>
        <v>0.58118863980051849</v>
      </c>
      <c r="E412" s="34">
        <f>'Rådata-K'!O411</f>
        <v>-0.12491077801570305</v>
      </c>
      <c r="F412" s="34">
        <f>'Rådata-K'!P411</f>
        <v>9.0538336052202281E-2</v>
      </c>
      <c r="G412" s="34">
        <f>'Rådata-K'!Q411</f>
        <v>0.2267536704730832</v>
      </c>
      <c r="H412" s="34">
        <f>'Rådata-K'!R411</f>
        <v>-0.13487475915221581</v>
      </c>
      <c r="I412" s="34">
        <f>'Rådata-K'!S411</f>
        <v>0.83384146341463417</v>
      </c>
      <c r="J412" s="22">
        <f>'Rådata-K'!K411</f>
        <v>324700</v>
      </c>
      <c r="K412" s="22">
        <f>Tabell2[[#This Row],[NIBR11]]</f>
        <v>11</v>
      </c>
      <c r="L412" s="32">
        <f>IF(Tabell2[[#This Row],[ReisetidOslo]]&lt;=C$434,C$434,IF(Tabell2[[#This Row],[ReisetidOslo]]&gt;=C$435,C$435,Tabell2[[#This Row],[ReisetidOslo]]))</f>
        <v>280.45666666669001</v>
      </c>
      <c r="M412" s="32">
        <f>IF(Tabell2[[#This Row],[Beftettotal]]&lt;=D$434,D$434,IF(Tabell2[[#This Row],[Beftettotal]]&gt;=D$435,D$435,Tabell2[[#This Row],[Beftettotal]]))</f>
        <v>1.3297721240876861</v>
      </c>
      <c r="N412" s="34">
        <f>IF(Tabell2[[#This Row],[Befvekst10]]&lt;=E$434,E$434,IF(Tabell2[[#This Row],[Befvekst10]]&gt;=E$435,E$435,Tabell2[[#This Row],[Befvekst10]]))</f>
        <v>-7.6196156394963507E-2</v>
      </c>
      <c r="O412" s="34">
        <f>IF(Tabell2[[#This Row],[Kvinneandel]]&lt;=F$434,F$434,IF(Tabell2[[#This Row],[Kvinneandel]]&gt;=F$435,F$435,Tabell2[[#This Row],[Kvinneandel]]))</f>
        <v>9.0538336052202281E-2</v>
      </c>
      <c r="P412" s="34">
        <f>IF(Tabell2[[#This Row],[Eldreandel]]&lt;=G$434,G$434,IF(Tabell2[[#This Row],[Eldreandel]]&gt;=G$435,G$435,Tabell2[[#This Row],[Eldreandel]]))</f>
        <v>0.21438492803547596</v>
      </c>
      <c r="Q412" s="34">
        <f>IF(Tabell2[[#This Row],[Sysselsettingsvekst10]]&lt;=H$434,H$434,IF(Tabell2[[#This Row],[Sysselsettingsvekst10]]&gt;=H$435,H$435,Tabell2[[#This Row],[Sysselsettingsvekst10]]))</f>
        <v>-6.9733479337269061E-2</v>
      </c>
      <c r="R412" s="34">
        <f>IF(Tabell2[[#This Row],[Yrkesaktivandel]]&lt;=I$434,I$434,IF(Tabell2[[#This Row],[Yrkesaktivandel]]&gt;=I$435,I$435,Tabell2[[#This Row],[Yrkesaktivandel]]))</f>
        <v>0.83384146341463417</v>
      </c>
      <c r="S412" s="22">
        <f>IF(Tabell2[[#This Row],[Inntekt]]&lt;=J$434,J$434,IF(Tabell2[[#This Row],[Inntekt]]&gt;=J$435,J$435,Tabell2[[#This Row],[Inntekt]]))</f>
        <v>331640</v>
      </c>
      <c r="T412" s="22">
        <f>IF(Tabell2[[#This Row],[NIBR11-T]]&lt;=K$437,100,IF(Tabell2[[#This Row],[NIBR11-T]]&gt;=K$436,0,100*(K$436-Tabell2[[#This Row],[NIBR11-T]])/K$439))</f>
        <v>0</v>
      </c>
      <c r="U412" s="7">
        <f>IF(Tabell2[[#This Row],[ReisetidOslo-T]]&lt;=L$437,100,IF(Tabell2[[#This Row],[ReisetidOslo-T]]&gt;=L$436,0,100*(L$436-Tabell2[[#This Row],[ReisetidOslo-T]])/L$439))</f>
        <v>0</v>
      </c>
      <c r="V412" s="7">
        <f>100-(M$436-Tabell2[[#This Row],[Beftettotal-T]])*100/M$439</f>
        <v>0</v>
      </c>
      <c r="W412" s="7">
        <f>100-(N$436-Tabell2[[#This Row],[Befvekst10-T]])*100/N$439</f>
        <v>0</v>
      </c>
      <c r="X412" s="7">
        <f>100-(O$436-Tabell2[[#This Row],[Kvinneandel-T]])*100/O$439</f>
        <v>0.12720618980641518</v>
      </c>
      <c r="Y412" s="7">
        <f>(P$436-Tabell2[[#This Row],[Eldreandel-T]])*100/P$439</f>
        <v>0</v>
      </c>
      <c r="Z412" s="7">
        <f>100-(Q$436-Tabell2[[#This Row],[Sysselsettingsvekst10-T]])*100/Q$439</f>
        <v>0</v>
      </c>
      <c r="AA412" s="7">
        <f>100-(R$436-Tabell2[[#This Row],[Yrkesaktivandel-T]])*100/R$439</f>
        <v>1.4347020189991611</v>
      </c>
      <c r="AB412" s="7">
        <f>100-(S$436-Tabell2[[#This Row],[Inntekt-T]])*100/S$439</f>
        <v>0</v>
      </c>
      <c r="AC412" s="55">
        <f>Tabell2[[#This Row],[NIBR11-I]]*Vekter!$B$3</f>
        <v>0</v>
      </c>
      <c r="AD412" s="55">
        <f>Tabell2[[#This Row],[ReisetidOslo-I]]*Vekter!$C$3</f>
        <v>0</v>
      </c>
      <c r="AE412" s="55">
        <f>Tabell2[[#This Row],[Beftettotal-I]]*Vekter!$D$3</f>
        <v>0</v>
      </c>
      <c r="AF412" s="55">
        <f>Tabell2[[#This Row],[Befvekst10-I]]*Vekter!$E$3</f>
        <v>0</v>
      </c>
      <c r="AG412" s="55">
        <f>Tabell2[[#This Row],[Kvinneandel-I]]*Vekter!$F$3</f>
        <v>6.3603094903207594E-3</v>
      </c>
      <c r="AH412" s="55">
        <f>Tabell2[[#This Row],[Eldreandel-I]]*Vekter!$G$3</f>
        <v>0</v>
      </c>
      <c r="AI412" s="55">
        <f>Tabell2[[#This Row],[Sysselsettingsvekst10-I]]*Vekter!$H$3</f>
        <v>0</v>
      </c>
      <c r="AJ412" s="55">
        <f>Tabell2[[#This Row],[Yrkesaktivandel-I]]*Vekter!$J$3</f>
        <v>0.14347020189991611</v>
      </c>
      <c r="AK412" s="55">
        <f>Tabell2[[#This Row],[Inntekt-I]]*Vekter!$L$3</f>
        <v>0</v>
      </c>
      <c r="AL412" s="56">
        <f>SUM(Tabell2[[#This Row],[NIBR11-v]:[Inntekt-v]])</f>
        <v>0.14983051139023687</v>
      </c>
    </row>
    <row r="413" spans="1:38" x14ac:dyDescent="0.25">
      <c r="A413" s="2" t="s">
        <v>410</v>
      </c>
      <c r="B413">
        <f>'Rådata-K'!M412</f>
        <v>11</v>
      </c>
      <c r="C413" s="7">
        <f>'Rådata-K'!L412</f>
        <v>277.06666666667002</v>
      </c>
      <c r="D413" s="34">
        <f>'Rådata-K'!N412</f>
        <v>3.5430645510397762</v>
      </c>
      <c r="E413" s="34">
        <f>'Rådata-K'!O412</f>
        <v>-0.10059171597633132</v>
      </c>
      <c r="F413" s="34">
        <f>'Rådata-K'!P412</f>
        <v>9.8214285714285712E-2</v>
      </c>
      <c r="G413" s="34">
        <f>'Rådata-K'!Q412</f>
        <v>0.18796992481203006</v>
      </c>
      <c r="H413" s="34">
        <f>'Rådata-K'!R412</f>
        <v>3.5754189944134041E-2</v>
      </c>
      <c r="I413" s="34">
        <f>'Rådata-K'!S412</f>
        <v>0.79372549019607841</v>
      </c>
      <c r="J413" s="22">
        <f>'Rådata-K'!K412</f>
        <v>332500</v>
      </c>
      <c r="K413" s="22">
        <f>Tabell2[[#This Row],[NIBR11]]</f>
        <v>11</v>
      </c>
      <c r="L413" s="32">
        <f>IF(Tabell2[[#This Row],[ReisetidOslo]]&lt;=C$434,C$434,IF(Tabell2[[#This Row],[ReisetidOslo]]&gt;=C$435,C$435,Tabell2[[#This Row],[ReisetidOslo]]))</f>
        <v>277.06666666667002</v>
      </c>
      <c r="M413" s="32">
        <f>IF(Tabell2[[#This Row],[Beftettotal]]&lt;=D$434,D$434,IF(Tabell2[[#This Row],[Beftettotal]]&gt;=D$435,D$435,Tabell2[[#This Row],[Beftettotal]]))</f>
        <v>3.5430645510397762</v>
      </c>
      <c r="N413" s="34">
        <f>IF(Tabell2[[#This Row],[Befvekst10]]&lt;=E$434,E$434,IF(Tabell2[[#This Row],[Befvekst10]]&gt;=E$435,E$435,Tabell2[[#This Row],[Befvekst10]]))</f>
        <v>-7.6196156394963507E-2</v>
      </c>
      <c r="O413" s="34">
        <f>IF(Tabell2[[#This Row],[Kvinneandel]]&lt;=F$434,F$434,IF(Tabell2[[#This Row],[Kvinneandel]]&gt;=F$435,F$435,Tabell2[[#This Row],[Kvinneandel]]))</f>
        <v>9.8214285714285712E-2</v>
      </c>
      <c r="P413" s="34">
        <f>IF(Tabell2[[#This Row],[Eldreandel]]&lt;=G$434,G$434,IF(Tabell2[[#This Row],[Eldreandel]]&gt;=G$435,G$435,Tabell2[[#This Row],[Eldreandel]]))</f>
        <v>0.18796992481203006</v>
      </c>
      <c r="Q413" s="34">
        <f>IF(Tabell2[[#This Row],[Sysselsettingsvekst10]]&lt;=H$434,H$434,IF(Tabell2[[#This Row],[Sysselsettingsvekst10]]&gt;=H$435,H$435,Tabell2[[#This Row],[Sysselsettingsvekst10]]))</f>
        <v>3.5754189944134041E-2</v>
      </c>
      <c r="R413" s="34">
        <f>IF(Tabell2[[#This Row],[Yrkesaktivandel]]&lt;=I$434,I$434,IF(Tabell2[[#This Row],[Yrkesaktivandel]]&gt;=I$435,I$435,Tabell2[[#This Row],[Yrkesaktivandel]]))</f>
        <v>0.83197552842263423</v>
      </c>
      <c r="S413" s="22">
        <f>IF(Tabell2[[#This Row],[Inntekt]]&lt;=J$434,J$434,IF(Tabell2[[#This Row],[Inntekt]]&gt;=J$435,J$435,Tabell2[[#This Row],[Inntekt]]))</f>
        <v>332500</v>
      </c>
      <c r="T413" s="22">
        <f>IF(Tabell2[[#This Row],[NIBR11-T]]&lt;=K$437,100,IF(Tabell2[[#This Row],[NIBR11-T]]&gt;=K$436,0,100*(K$436-Tabell2[[#This Row],[NIBR11-T]])/K$439))</f>
        <v>0</v>
      </c>
      <c r="U413" s="7">
        <f>IF(Tabell2[[#This Row],[ReisetidOslo-T]]&lt;=L$437,100,IF(Tabell2[[#This Row],[ReisetidOslo-T]]&gt;=L$436,0,100*(L$436-Tabell2[[#This Row],[ReisetidOslo-T]])/L$439))</f>
        <v>1.4873857404108144</v>
      </c>
      <c r="V413" s="7">
        <f>100-(M$436-Tabell2[[#This Row],[Beftettotal-T]])*100/M$439</f>
        <v>1.7121383483056718</v>
      </c>
      <c r="W413" s="7">
        <f>100-(N$436-Tabell2[[#This Row],[Befvekst10-T]])*100/N$439</f>
        <v>0</v>
      </c>
      <c r="X413" s="7">
        <f>100-(O$436-Tabell2[[#This Row],[Kvinneandel-T]])*100/O$439</f>
        <v>20.410760931179851</v>
      </c>
      <c r="Y413" s="7">
        <f>(P$436-Tabell2[[#This Row],[Eldreandel-T]])*100/P$439</f>
        <v>28.944290984296533</v>
      </c>
      <c r="Z413" s="7">
        <f>100-(Q$436-Tabell2[[#This Row],[Sysselsettingsvekst10-T]])*100/Q$439</f>
        <v>31.386896549895027</v>
      </c>
      <c r="AA413" s="7">
        <f>100-(R$436-Tabell2[[#This Row],[Yrkesaktivandel-T]])*100/R$439</f>
        <v>0</v>
      </c>
      <c r="AB413" s="7">
        <f>100-(S$436-Tabell2[[#This Row],[Inntekt-T]])*100/S$439</f>
        <v>0.99837473879730965</v>
      </c>
      <c r="AC413" s="55">
        <f>Tabell2[[#This Row],[NIBR11-I]]*Vekter!$B$3</f>
        <v>0</v>
      </c>
      <c r="AD413" s="55">
        <f>Tabell2[[#This Row],[ReisetidOslo-I]]*Vekter!$C$3</f>
        <v>0.14873857404108146</v>
      </c>
      <c r="AE413" s="55">
        <f>Tabell2[[#This Row],[Beftettotal-I]]*Vekter!$D$3</f>
        <v>0.17121383483056718</v>
      </c>
      <c r="AF413" s="55">
        <f>Tabell2[[#This Row],[Befvekst10-I]]*Vekter!$E$3</f>
        <v>0</v>
      </c>
      <c r="AG413" s="55">
        <f>Tabell2[[#This Row],[Kvinneandel-I]]*Vekter!$F$3</f>
        <v>1.0205380465589926</v>
      </c>
      <c r="AH413" s="55">
        <f>Tabell2[[#This Row],[Eldreandel-I]]*Vekter!$G$3</f>
        <v>1.4472145492148267</v>
      </c>
      <c r="AI413" s="55">
        <f>Tabell2[[#This Row],[Sysselsettingsvekst10-I]]*Vekter!$H$3</f>
        <v>3.1386896549895029</v>
      </c>
      <c r="AJ413" s="55">
        <f>Tabell2[[#This Row],[Yrkesaktivandel-I]]*Vekter!$J$3</f>
        <v>0</v>
      </c>
      <c r="AK413" s="55">
        <f>Tabell2[[#This Row],[Inntekt-I]]*Vekter!$L$3</f>
        <v>9.9837473879730965E-2</v>
      </c>
      <c r="AL413" s="56">
        <f>SUM(Tabell2[[#This Row],[NIBR11-v]:[Inntekt-v]])</f>
        <v>6.0262321335147018</v>
      </c>
    </row>
    <row r="414" spans="1:38" x14ac:dyDescent="0.25">
      <c r="A414" s="2" t="s">
        <v>411</v>
      </c>
      <c r="B414">
        <f>'Rådata-K'!M413</f>
        <v>7</v>
      </c>
      <c r="C414" s="7">
        <f>'Rådata-K'!L413</f>
        <v>311.2</v>
      </c>
      <c r="D414" s="34">
        <f>'Rådata-K'!N413</f>
        <v>4.9608791068986351</v>
      </c>
      <c r="E414" s="34">
        <f>'Rådata-K'!O413</f>
        <v>9.3835948875586883E-3</v>
      </c>
      <c r="F414" s="34">
        <f>'Rådata-K'!P413</f>
        <v>0.1125180317358551</v>
      </c>
      <c r="G414" s="34">
        <f>'Rådata-K'!Q413</f>
        <v>0.13848373136720629</v>
      </c>
      <c r="H414" s="34">
        <f>'Rådata-K'!R413</f>
        <v>-5.9099437148217637E-2</v>
      </c>
      <c r="I414" s="34">
        <f>'Rådata-K'!S413</f>
        <v>0.83719646799116998</v>
      </c>
      <c r="J414" s="22">
        <f>'Rådata-K'!K413</f>
        <v>361600</v>
      </c>
      <c r="K414" s="22">
        <f>Tabell2[[#This Row],[NIBR11]]</f>
        <v>7</v>
      </c>
      <c r="L414" s="32">
        <f>IF(Tabell2[[#This Row],[ReisetidOslo]]&lt;=C$434,C$434,IF(Tabell2[[#This Row],[ReisetidOslo]]&gt;=C$435,C$435,Tabell2[[#This Row],[ReisetidOslo]]))</f>
        <v>280.45666666669001</v>
      </c>
      <c r="M414" s="32">
        <f>IF(Tabell2[[#This Row],[Beftettotal]]&lt;=D$434,D$434,IF(Tabell2[[#This Row],[Beftettotal]]&gt;=D$435,D$435,Tabell2[[#This Row],[Beftettotal]]))</f>
        <v>4.9608791068986351</v>
      </c>
      <c r="N414" s="34">
        <f>IF(Tabell2[[#This Row],[Befvekst10]]&lt;=E$434,E$434,IF(Tabell2[[#This Row],[Befvekst10]]&gt;=E$435,E$435,Tabell2[[#This Row],[Befvekst10]]))</f>
        <v>9.3835948875586883E-3</v>
      </c>
      <c r="O414" s="34">
        <f>IF(Tabell2[[#This Row],[Kvinneandel]]&lt;=F$434,F$434,IF(Tabell2[[#This Row],[Kvinneandel]]&gt;=F$435,F$435,Tabell2[[#This Row],[Kvinneandel]]))</f>
        <v>0.1125180317358551</v>
      </c>
      <c r="P414" s="34">
        <f>IF(Tabell2[[#This Row],[Eldreandel]]&lt;=G$434,G$434,IF(Tabell2[[#This Row],[Eldreandel]]&gt;=G$435,G$435,Tabell2[[#This Row],[Eldreandel]]))</f>
        <v>0.13848373136720629</v>
      </c>
      <c r="Q414" s="34">
        <f>IF(Tabell2[[#This Row],[Sysselsettingsvekst10]]&lt;=H$434,H$434,IF(Tabell2[[#This Row],[Sysselsettingsvekst10]]&gt;=H$435,H$435,Tabell2[[#This Row],[Sysselsettingsvekst10]]))</f>
        <v>-5.9099437148217637E-2</v>
      </c>
      <c r="R414" s="34">
        <f>IF(Tabell2[[#This Row],[Yrkesaktivandel]]&lt;=I$434,I$434,IF(Tabell2[[#This Row],[Yrkesaktivandel]]&gt;=I$435,I$435,Tabell2[[#This Row],[Yrkesaktivandel]]))</f>
        <v>0.83719646799116998</v>
      </c>
      <c r="S414" s="22">
        <f>IF(Tabell2[[#This Row],[Inntekt]]&lt;=J$434,J$434,IF(Tabell2[[#This Row],[Inntekt]]&gt;=J$435,J$435,Tabell2[[#This Row],[Inntekt]]))</f>
        <v>361600</v>
      </c>
      <c r="T414" s="22">
        <f>IF(Tabell2[[#This Row],[NIBR11-T]]&lt;=K$437,100,IF(Tabell2[[#This Row],[NIBR11-T]]&gt;=K$436,0,100*(K$436-Tabell2[[#This Row],[NIBR11-T]])/K$439))</f>
        <v>40</v>
      </c>
      <c r="U414" s="7">
        <f>IF(Tabell2[[#This Row],[ReisetidOslo-T]]&lt;=L$437,100,IF(Tabell2[[#This Row],[ReisetidOslo-T]]&gt;=L$436,0,100*(L$436-Tabell2[[#This Row],[ReisetidOslo-T]])/L$439))</f>
        <v>0</v>
      </c>
      <c r="V414" s="7">
        <f>100-(M$436-Tabell2[[#This Row],[Beftettotal-T]])*100/M$439</f>
        <v>2.8089182596772559</v>
      </c>
      <c r="W414" s="7">
        <f>100-(N$436-Tabell2[[#This Row],[Befvekst10-T]])*100/N$439</f>
        <v>34.457536166563173</v>
      </c>
      <c r="X414" s="7">
        <f>100-(O$436-Tabell2[[#This Row],[Kvinneandel-T]])*100/O$439</f>
        <v>58.208144734822071</v>
      </c>
      <c r="Y414" s="7">
        <f>(P$436-Tabell2[[#This Row],[Eldreandel-T]])*100/P$439</f>
        <v>83.168883374307029</v>
      </c>
      <c r="Z414" s="7">
        <f>100-(Q$436-Tabell2[[#This Row],[Sysselsettingsvekst10-T]])*100/Q$439</f>
        <v>3.1640625332672698</v>
      </c>
      <c r="AA414" s="7">
        <f>100-(R$436-Tabell2[[#This Row],[Yrkesaktivandel-T]])*100/R$439</f>
        <v>4.014337354819844</v>
      </c>
      <c r="AB414" s="7">
        <f>100-(S$436-Tabell2[[#This Row],[Inntekt-T]])*100/S$439</f>
        <v>34.780589737636404</v>
      </c>
      <c r="AC414" s="55">
        <f>Tabell2[[#This Row],[NIBR11-I]]*Vekter!$B$3</f>
        <v>8</v>
      </c>
      <c r="AD414" s="55">
        <f>Tabell2[[#This Row],[ReisetidOslo-I]]*Vekter!$C$3</f>
        <v>0</v>
      </c>
      <c r="AE414" s="55">
        <f>Tabell2[[#This Row],[Beftettotal-I]]*Vekter!$D$3</f>
        <v>0.28089182596772561</v>
      </c>
      <c r="AF414" s="55">
        <f>Tabell2[[#This Row],[Befvekst10-I]]*Vekter!$E$3</f>
        <v>6.8915072333126348</v>
      </c>
      <c r="AG414" s="55">
        <f>Tabell2[[#This Row],[Kvinneandel-I]]*Vekter!$F$3</f>
        <v>2.9104072367411038</v>
      </c>
      <c r="AH414" s="55">
        <f>Tabell2[[#This Row],[Eldreandel-I]]*Vekter!$G$3</f>
        <v>4.1584441687153513</v>
      </c>
      <c r="AI414" s="55">
        <f>Tabell2[[#This Row],[Sysselsettingsvekst10-I]]*Vekter!$H$3</f>
        <v>0.316406253326727</v>
      </c>
      <c r="AJ414" s="55">
        <f>Tabell2[[#This Row],[Yrkesaktivandel-I]]*Vekter!$J$3</f>
        <v>0.40143373548198441</v>
      </c>
      <c r="AK414" s="55">
        <f>Tabell2[[#This Row],[Inntekt-I]]*Vekter!$L$3</f>
        <v>3.4780589737636407</v>
      </c>
      <c r="AL414" s="56">
        <f>SUM(Tabell2[[#This Row],[NIBR11-v]:[Inntekt-v]])</f>
        <v>26.437149427309166</v>
      </c>
    </row>
    <row r="415" spans="1:38" x14ac:dyDescent="0.25">
      <c r="A415" s="2" t="s">
        <v>412</v>
      </c>
      <c r="B415">
        <f>'Rådata-K'!M414</f>
        <v>6</v>
      </c>
      <c r="C415" s="7">
        <f>'Rådata-K'!L414</f>
        <v>281.23333333332999</v>
      </c>
      <c r="D415" s="34">
        <f>'Rådata-K'!N414</f>
        <v>12.281301579816081</v>
      </c>
      <c r="E415" s="34">
        <f>'Rådata-K'!O414</f>
        <v>0.12482453298779839</v>
      </c>
      <c r="F415" s="34">
        <f>'Rådata-K'!P414</f>
        <v>0.1342037054814246</v>
      </c>
      <c r="G415" s="34">
        <f>'Rådata-K'!Q414</f>
        <v>0.11942017855428626</v>
      </c>
      <c r="H415" s="34">
        <f>'Rådata-K'!R414</f>
        <v>0.11442691503516444</v>
      </c>
      <c r="I415" s="34">
        <f>'Rådata-K'!S414</f>
        <v>0.89520676691729328</v>
      </c>
      <c r="J415" s="22">
        <f>'Rådata-K'!K414</f>
        <v>408600</v>
      </c>
      <c r="K415" s="22">
        <f>Tabell2[[#This Row],[NIBR11]]</f>
        <v>6</v>
      </c>
      <c r="L415" s="32">
        <f>IF(Tabell2[[#This Row],[ReisetidOslo]]&lt;=C$434,C$434,IF(Tabell2[[#This Row],[ReisetidOslo]]&gt;=C$435,C$435,Tabell2[[#This Row],[ReisetidOslo]]))</f>
        <v>280.45666666669001</v>
      </c>
      <c r="M415" s="32">
        <f>IF(Tabell2[[#This Row],[Beftettotal]]&lt;=D$434,D$434,IF(Tabell2[[#This Row],[Beftettotal]]&gt;=D$435,D$435,Tabell2[[#This Row],[Beftettotal]]))</f>
        <v>12.281301579816081</v>
      </c>
      <c r="N415" s="34">
        <f>IF(Tabell2[[#This Row],[Befvekst10]]&lt;=E$434,E$434,IF(Tabell2[[#This Row],[Befvekst10]]&gt;=E$435,E$435,Tabell2[[#This Row],[Befvekst10]]))</f>
        <v>0.12482453298779839</v>
      </c>
      <c r="O415" s="34">
        <f>IF(Tabell2[[#This Row],[Kvinneandel]]&lt;=F$434,F$434,IF(Tabell2[[#This Row],[Kvinneandel]]&gt;=F$435,F$435,Tabell2[[#This Row],[Kvinneandel]]))</f>
        <v>0.12833341426573511</v>
      </c>
      <c r="P415" s="34">
        <f>IF(Tabell2[[#This Row],[Eldreandel]]&lt;=G$434,G$434,IF(Tabell2[[#This Row],[Eldreandel]]&gt;=G$435,G$435,Tabell2[[#This Row],[Eldreandel]]))</f>
        <v>0.12312339657223466</v>
      </c>
      <c r="Q415" s="34">
        <f>IF(Tabell2[[#This Row],[Sysselsettingsvekst10]]&lt;=H$434,H$434,IF(Tabell2[[#This Row],[Sysselsettingsvekst10]]&gt;=H$435,H$435,Tabell2[[#This Row],[Sysselsettingsvekst10]]))</f>
        <v>0.11442691503516444</v>
      </c>
      <c r="R415" s="34">
        <f>IF(Tabell2[[#This Row],[Yrkesaktivandel]]&lt;=I$434,I$434,IF(Tabell2[[#This Row],[Yrkesaktivandel]]&gt;=I$435,I$435,Tabell2[[#This Row],[Yrkesaktivandel]]))</f>
        <v>0.89520676691729328</v>
      </c>
      <c r="S415" s="22">
        <f>IF(Tabell2[[#This Row],[Inntekt]]&lt;=J$434,J$434,IF(Tabell2[[#This Row],[Inntekt]]&gt;=J$435,J$435,Tabell2[[#This Row],[Inntekt]]))</f>
        <v>408600</v>
      </c>
      <c r="T415" s="22">
        <f>IF(Tabell2[[#This Row],[NIBR11-T]]&lt;=K$437,100,IF(Tabell2[[#This Row],[NIBR11-T]]&gt;=K$436,0,100*(K$436-Tabell2[[#This Row],[NIBR11-T]])/K$439))</f>
        <v>50</v>
      </c>
      <c r="U415" s="7">
        <f>IF(Tabell2[[#This Row],[ReisetidOslo-T]]&lt;=L$437,100,IF(Tabell2[[#This Row],[ReisetidOslo-T]]&gt;=L$436,0,100*(L$436-Tabell2[[#This Row],[ReisetidOslo-T]])/L$439))</f>
        <v>0</v>
      </c>
      <c r="V415" s="7">
        <f>100-(M$436-Tabell2[[#This Row],[Beftettotal-T]])*100/M$439</f>
        <v>8.47178317940255</v>
      </c>
      <c r="W415" s="7">
        <f>100-(N$436-Tabell2[[#This Row],[Befvekst10-T]])*100/N$439</f>
        <v>80.938277698040054</v>
      </c>
      <c r="X415" s="7">
        <f>100-(O$436-Tabell2[[#This Row],[Kvinneandel-T]])*100/O$439</f>
        <v>100</v>
      </c>
      <c r="Y415" s="7">
        <f>(P$436-Tabell2[[#This Row],[Eldreandel-T]])*100/P$439</f>
        <v>100</v>
      </c>
      <c r="Z415" s="7">
        <f>100-(Q$436-Tabell2[[#This Row],[Sysselsettingsvekst10-T]])*100/Q$439</f>
        <v>54.795250346615269</v>
      </c>
      <c r="AA415" s="7">
        <f>100-(R$436-Tabell2[[#This Row],[Yrkesaktivandel-T]])*100/R$439</f>
        <v>48.617977539973843</v>
      </c>
      <c r="AB415" s="7">
        <f>100-(S$436-Tabell2[[#This Row],[Inntekt-T]])*100/S$439</f>
        <v>89.34293011376829</v>
      </c>
      <c r="AC415" s="55">
        <f>Tabell2[[#This Row],[NIBR11-I]]*Vekter!$B$3</f>
        <v>10</v>
      </c>
      <c r="AD415" s="55">
        <f>Tabell2[[#This Row],[ReisetidOslo-I]]*Vekter!$C$3</f>
        <v>0</v>
      </c>
      <c r="AE415" s="55">
        <f>Tabell2[[#This Row],[Beftettotal-I]]*Vekter!$D$3</f>
        <v>0.847178317940255</v>
      </c>
      <c r="AF415" s="55">
        <f>Tabell2[[#This Row],[Befvekst10-I]]*Vekter!$E$3</f>
        <v>16.187655539608013</v>
      </c>
      <c r="AG415" s="55">
        <f>Tabell2[[#This Row],[Kvinneandel-I]]*Vekter!$F$3</f>
        <v>5</v>
      </c>
      <c r="AH415" s="55">
        <f>Tabell2[[#This Row],[Eldreandel-I]]*Vekter!$G$3</f>
        <v>5</v>
      </c>
      <c r="AI415" s="55">
        <f>Tabell2[[#This Row],[Sysselsettingsvekst10-I]]*Vekter!$H$3</f>
        <v>5.4795250346615276</v>
      </c>
      <c r="AJ415" s="55">
        <f>Tabell2[[#This Row],[Yrkesaktivandel-I]]*Vekter!$J$3</f>
        <v>4.8617977539973847</v>
      </c>
      <c r="AK415" s="55">
        <f>Tabell2[[#This Row],[Inntekt-I]]*Vekter!$L$3</f>
        <v>8.9342930113768286</v>
      </c>
      <c r="AL415" s="56">
        <f>SUM(Tabell2[[#This Row],[NIBR11-v]:[Inntekt-v]])</f>
        <v>56.310449657584009</v>
      </c>
    </row>
    <row r="416" spans="1:38" x14ac:dyDescent="0.25">
      <c r="A416" s="2" t="s">
        <v>413</v>
      </c>
      <c r="B416">
        <f>'Rådata-K'!M415</f>
        <v>11</v>
      </c>
      <c r="C416" s="7">
        <f>'Rådata-K'!L415</f>
        <v>315.68333333300001</v>
      </c>
      <c r="D416" s="34">
        <f>'Rådata-K'!N415</f>
        <v>0.30018522066807179</v>
      </c>
      <c r="E416" s="34">
        <f>'Rådata-K'!O415</f>
        <v>-2.7694361027694403E-2</v>
      </c>
      <c r="F416" s="34">
        <f>'Rådata-K'!P415</f>
        <v>0.12216884008236102</v>
      </c>
      <c r="G416" s="34">
        <f>'Rådata-K'!Q415</f>
        <v>0.12354152367879204</v>
      </c>
      <c r="H416" s="34">
        <f>'Rådata-K'!R415</f>
        <v>1.4604150653343639E-2</v>
      </c>
      <c r="I416" s="34">
        <f>'Rådata-K'!S415</f>
        <v>0.84817351598173518</v>
      </c>
      <c r="J416" s="22">
        <f>'Rådata-K'!K415</f>
        <v>296500</v>
      </c>
      <c r="K416" s="22">
        <f>Tabell2[[#This Row],[NIBR11]]</f>
        <v>11</v>
      </c>
      <c r="L416" s="32">
        <f>IF(Tabell2[[#This Row],[ReisetidOslo]]&lt;=C$434,C$434,IF(Tabell2[[#This Row],[ReisetidOslo]]&gt;=C$435,C$435,Tabell2[[#This Row],[ReisetidOslo]]))</f>
        <v>280.45666666669001</v>
      </c>
      <c r="M416" s="32">
        <f>IF(Tabell2[[#This Row],[Beftettotal]]&lt;=D$434,D$434,IF(Tabell2[[#This Row],[Beftettotal]]&gt;=D$435,D$435,Tabell2[[#This Row],[Beftettotal]]))</f>
        <v>1.3297721240876861</v>
      </c>
      <c r="N416" s="34">
        <f>IF(Tabell2[[#This Row],[Befvekst10]]&lt;=E$434,E$434,IF(Tabell2[[#This Row],[Befvekst10]]&gt;=E$435,E$435,Tabell2[[#This Row],[Befvekst10]]))</f>
        <v>-2.7694361027694403E-2</v>
      </c>
      <c r="O416" s="34">
        <f>IF(Tabell2[[#This Row],[Kvinneandel]]&lt;=F$434,F$434,IF(Tabell2[[#This Row],[Kvinneandel]]&gt;=F$435,F$435,Tabell2[[#This Row],[Kvinneandel]]))</f>
        <v>0.12216884008236102</v>
      </c>
      <c r="P416" s="34">
        <f>IF(Tabell2[[#This Row],[Eldreandel]]&lt;=G$434,G$434,IF(Tabell2[[#This Row],[Eldreandel]]&gt;=G$435,G$435,Tabell2[[#This Row],[Eldreandel]]))</f>
        <v>0.12354152367879204</v>
      </c>
      <c r="Q416" s="34">
        <f>IF(Tabell2[[#This Row],[Sysselsettingsvekst10]]&lt;=H$434,H$434,IF(Tabell2[[#This Row],[Sysselsettingsvekst10]]&gt;=H$435,H$435,Tabell2[[#This Row],[Sysselsettingsvekst10]]))</f>
        <v>1.4604150653343639E-2</v>
      </c>
      <c r="R416" s="34">
        <f>IF(Tabell2[[#This Row],[Yrkesaktivandel]]&lt;=I$434,I$434,IF(Tabell2[[#This Row],[Yrkesaktivandel]]&gt;=I$435,I$435,Tabell2[[#This Row],[Yrkesaktivandel]]))</f>
        <v>0.84817351598173518</v>
      </c>
      <c r="S416" s="22">
        <f>IF(Tabell2[[#This Row],[Inntekt]]&lt;=J$434,J$434,IF(Tabell2[[#This Row],[Inntekt]]&gt;=J$435,J$435,Tabell2[[#This Row],[Inntekt]]))</f>
        <v>331640</v>
      </c>
      <c r="T416" s="22">
        <f>IF(Tabell2[[#This Row],[NIBR11-T]]&lt;=K$437,100,IF(Tabell2[[#This Row],[NIBR11-T]]&gt;=K$436,0,100*(K$436-Tabell2[[#This Row],[NIBR11-T]])/K$439))</f>
        <v>0</v>
      </c>
      <c r="U416" s="7">
        <f>IF(Tabell2[[#This Row],[ReisetidOslo-T]]&lt;=L$437,100,IF(Tabell2[[#This Row],[ReisetidOslo-T]]&gt;=L$436,0,100*(L$436-Tabell2[[#This Row],[ReisetidOslo-T]])/L$439))</f>
        <v>0</v>
      </c>
      <c r="V416" s="7">
        <f>100-(M$436-Tabell2[[#This Row],[Beftettotal-T]])*100/M$439</f>
        <v>0</v>
      </c>
      <c r="W416" s="7">
        <f>100-(N$436-Tabell2[[#This Row],[Befvekst10-T]])*100/N$439</f>
        <v>19.528595759686894</v>
      </c>
      <c r="X416" s="7">
        <f>100-(O$436-Tabell2[[#This Row],[Kvinneandel-T]])*100/O$439</f>
        <v>83.710226954277985</v>
      </c>
      <c r="Y416" s="7">
        <f>(P$436-Tabell2[[#This Row],[Eldreandel-T]])*100/P$439</f>
        <v>99.541836412502235</v>
      </c>
      <c r="Z416" s="7">
        <f>100-(Q$436-Tabell2[[#This Row],[Sysselsettingsvekst10-T]])*100/Q$439</f>
        <v>25.09389472543171</v>
      </c>
      <c r="AA416" s="7">
        <f>100-(R$436-Tabell2[[#This Row],[Yrkesaktivandel-T]])*100/R$439</f>
        <v>12.454498980083471</v>
      </c>
      <c r="AB416" s="7">
        <f>100-(S$436-Tabell2[[#This Row],[Inntekt-T]])*100/S$439</f>
        <v>0</v>
      </c>
      <c r="AC416" s="55">
        <f>Tabell2[[#This Row],[NIBR11-I]]*Vekter!$B$3</f>
        <v>0</v>
      </c>
      <c r="AD416" s="55">
        <f>Tabell2[[#This Row],[ReisetidOslo-I]]*Vekter!$C$3</f>
        <v>0</v>
      </c>
      <c r="AE416" s="55">
        <f>Tabell2[[#This Row],[Beftettotal-I]]*Vekter!$D$3</f>
        <v>0</v>
      </c>
      <c r="AF416" s="55">
        <f>Tabell2[[#This Row],[Befvekst10-I]]*Vekter!$E$3</f>
        <v>3.9057191519373791</v>
      </c>
      <c r="AG416" s="55">
        <f>Tabell2[[#This Row],[Kvinneandel-I]]*Vekter!$F$3</f>
        <v>4.1855113477138994</v>
      </c>
      <c r="AH416" s="55">
        <f>Tabell2[[#This Row],[Eldreandel-I]]*Vekter!$G$3</f>
        <v>4.9770918206251125</v>
      </c>
      <c r="AI416" s="55">
        <f>Tabell2[[#This Row],[Sysselsettingsvekst10-I]]*Vekter!$H$3</f>
        <v>2.5093894725431714</v>
      </c>
      <c r="AJ416" s="55">
        <f>Tabell2[[#This Row],[Yrkesaktivandel-I]]*Vekter!$J$3</f>
        <v>1.2454498980083473</v>
      </c>
      <c r="AK416" s="55">
        <f>Tabell2[[#This Row],[Inntekt-I]]*Vekter!$L$3</f>
        <v>0</v>
      </c>
      <c r="AL416" s="56">
        <f>SUM(Tabell2[[#This Row],[NIBR11-v]:[Inntekt-v]])</f>
        <v>16.823161690827909</v>
      </c>
    </row>
    <row r="417" spans="1:38" x14ac:dyDescent="0.25">
      <c r="A417" s="2" t="s">
        <v>414</v>
      </c>
      <c r="B417">
        <f>'Rådata-K'!M416</f>
        <v>6</v>
      </c>
      <c r="C417" s="7">
        <f>'Rådata-K'!L416</f>
        <v>219.48333333332999</v>
      </c>
      <c r="D417" s="34">
        <f>'Rådata-K'!N416</f>
        <v>5.1690769802282421</v>
      </c>
      <c r="E417" s="34">
        <f>'Rådata-K'!O416</f>
        <v>0.12877240753346952</v>
      </c>
      <c r="F417" s="34">
        <f>'Rådata-K'!P416</f>
        <v>0.12825409588903408</v>
      </c>
      <c r="G417" s="34">
        <f>'Rådata-K'!Q416</f>
        <v>0.10719670318624988</v>
      </c>
      <c r="H417" s="34">
        <f>'Rådata-K'!R416</f>
        <v>0.19990647650222115</v>
      </c>
      <c r="I417" s="34">
        <f>'Rådata-K'!S416</f>
        <v>0.86113239676458064</v>
      </c>
      <c r="J417" s="22">
        <f>'Rådata-K'!K416</f>
        <v>371700</v>
      </c>
      <c r="K417" s="22">
        <f>Tabell2[[#This Row],[NIBR11]]</f>
        <v>6</v>
      </c>
      <c r="L417" s="32">
        <f>IF(Tabell2[[#This Row],[ReisetidOslo]]&lt;=C$434,C$434,IF(Tabell2[[#This Row],[ReisetidOslo]]&gt;=C$435,C$435,Tabell2[[#This Row],[ReisetidOslo]]))</f>
        <v>219.48333333332999</v>
      </c>
      <c r="M417" s="32">
        <f>IF(Tabell2[[#This Row],[Beftettotal]]&lt;=D$434,D$434,IF(Tabell2[[#This Row],[Beftettotal]]&gt;=D$435,D$435,Tabell2[[#This Row],[Beftettotal]]))</f>
        <v>5.1690769802282421</v>
      </c>
      <c r="N417" s="34">
        <f>IF(Tabell2[[#This Row],[Befvekst10]]&lt;=E$434,E$434,IF(Tabell2[[#This Row],[Befvekst10]]&gt;=E$435,E$435,Tabell2[[#This Row],[Befvekst10]]))</f>
        <v>0.12877240753346952</v>
      </c>
      <c r="O417" s="34">
        <f>IF(Tabell2[[#This Row],[Kvinneandel]]&lt;=F$434,F$434,IF(Tabell2[[#This Row],[Kvinneandel]]&gt;=F$435,F$435,Tabell2[[#This Row],[Kvinneandel]]))</f>
        <v>0.12825409588903408</v>
      </c>
      <c r="P417" s="34">
        <f>IF(Tabell2[[#This Row],[Eldreandel]]&lt;=G$434,G$434,IF(Tabell2[[#This Row],[Eldreandel]]&gt;=G$435,G$435,Tabell2[[#This Row],[Eldreandel]]))</f>
        <v>0.12312339657223466</v>
      </c>
      <c r="Q417" s="34">
        <f>IF(Tabell2[[#This Row],[Sysselsettingsvekst10]]&lt;=H$434,H$434,IF(Tabell2[[#This Row],[Sysselsettingsvekst10]]&gt;=H$435,H$435,Tabell2[[#This Row],[Sysselsettingsvekst10]]))</f>
        <v>0.19990647650222115</v>
      </c>
      <c r="R417" s="34">
        <f>IF(Tabell2[[#This Row],[Yrkesaktivandel]]&lt;=I$434,I$434,IF(Tabell2[[#This Row],[Yrkesaktivandel]]&gt;=I$435,I$435,Tabell2[[#This Row],[Yrkesaktivandel]]))</f>
        <v>0.86113239676458064</v>
      </c>
      <c r="S417" s="22">
        <f>IF(Tabell2[[#This Row],[Inntekt]]&lt;=J$434,J$434,IF(Tabell2[[#This Row],[Inntekt]]&gt;=J$435,J$435,Tabell2[[#This Row],[Inntekt]]))</f>
        <v>371700</v>
      </c>
      <c r="T417" s="22">
        <f>IF(Tabell2[[#This Row],[NIBR11-T]]&lt;=K$437,100,IF(Tabell2[[#This Row],[NIBR11-T]]&gt;=K$436,0,100*(K$436-Tabell2[[#This Row],[NIBR11-T]])/K$439))</f>
        <v>50</v>
      </c>
      <c r="U417" s="7">
        <f>IF(Tabell2[[#This Row],[ReisetidOslo-T]]&lt;=L$437,100,IF(Tabell2[[#This Row],[ReisetidOslo-T]]&gt;=L$436,0,100*(L$436-Tabell2[[#This Row],[ReisetidOslo-T]])/L$439))</f>
        <v>26.752468007321578</v>
      </c>
      <c r="V417" s="7">
        <f>100-(M$436-Tabell2[[#This Row],[Beftettotal-T]])*100/M$439</f>
        <v>2.9699740508698511</v>
      </c>
      <c r="W417" s="7">
        <f>100-(N$436-Tabell2[[#This Row],[Befvekst10-T]])*100/N$439</f>
        <v>82.527836301563354</v>
      </c>
      <c r="X417" s="7">
        <f>100-(O$436-Tabell2[[#This Row],[Kvinneandel-T]])*100/O$439</f>
        <v>99.790402659392186</v>
      </c>
      <c r="Y417" s="7">
        <f>(P$436-Tabell2[[#This Row],[Eldreandel-T]])*100/P$439</f>
        <v>100</v>
      </c>
      <c r="Z417" s="7">
        <f>100-(Q$436-Tabell2[[#This Row],[Sysselsettingsvekst10-T]])*100/Q$439</f>
        <v>80.228916396623347</v>
      </c>
      <c r="AA417" s="7">
        <f>100-(R$436-Tabell2[[#This Row],[Yrkesaktivandel-T]])*100/R$439</f>
        <v>22.418475486676755</v>
      </c>
      <c r="AB417" s="7">
        <f>100-(S$436-Tabell2[[#This Row],[Inntekt-T]])*100/S$439</f>
        <v>46.505688414209423</v>
      </c>
      <c r="AC417" s="55">
        <f>Tabell2[[#This Row],[NIBR11-I]]*Vekter!$B$3</f>
        <v>10</v>
      </c>
      <c r="AD417" s="55">
        <f>Tabell2[[#This Row],[ReisetidOslo-I]]*Vekter!$C$3</f>
        <v>2.6752468007321579</v>
      </c>
      <c r="AE417" s="55">
        <f>Tabell2[[#This Row],[Beftettotal-I]]*Vekter!$D$3</f>
        <v>0.29699740508698513</v>
      </c>
      <c r="AF417" s="55">
        <f>Tabell2[[#This Row],[Befvekst10-I]]*Vekter!$E$3</f>
        <v>16.50556726031267</v>
      </c>
      <c r="AG417" s="55">
        <f>Tabell2[[#This Row],[Kvinneandel-I]]*Vekter!$F$3</f>
        <v>4.9895201329696093</v>
      </c>
      <c r="AH417" s="55">
        <f>Tabell2[[#This Row],[Eldreandel-I]]*Vekter!$G$3</f>
        <v>5</v>
      </c>
      <c r="AI417" s="55">
        <f>Tabell2[[#This Row],[Sysselsettingsvekst10-I]]*Vekter!$H$3</f>
        <v>8.0228916396623351</v>
      </c>
      <c r="AJ417" s="55">
        <f>Tabell2[[#This Row],[Yrkesaktivandel-I]]*Vekter!$J$3</f>
        <v>2.2418475486676757</v>
      </c>
      <c r="AK417" s="55">
        <f>Tabell2[[#This Row],[Inntekt-I]]*Vekter!$L$3</f>
        <v>4.6505688414209425</v>
      </c>
      <c r="AL417" s="56">
        <f>SUM(Tabell2[[#This Row],[NIBR11-v]:[Inntekt-v]])</f>
        <v>54.382639628852374</v>
      </c>
    </row>
    <row r="418" spans="1:38" x14ac:dyDescent="0.25">
      <c r="A418" s="2" t="s">
        <v>415</v>
      </c>
      <c r="B418">
        <f>'Rådata-K'!M417</f>
        <v>11</v>
      </c>
      <c r="C418" s="7">
        <f>'Rådata-K'!L417</f>
        <v>311.8</v>
      </c>
      <c r="D418" s="34">
        <f>'Rådata-K'!N417</f>
        <v>1.4356845268338003</v>
      </c>
      <c r="E418" s="34">
        <f>'Rådata-K'!O417</f>
        <v>-0.21879936808846756</v>
      </c>
      <c r="F418" s="34">
        <f>'Rådata-K'!P417</f>
        <v>8.2912032355915072E-2</v>
      </c>
      <c r="G418" s="34">
        <f>'Rådata-K'!Q417</f>
        <v>0.24570273003033366</v>
      </c>
      <c r="H418" s="34">
        <f>'Rådata-K'!R417</f>
        <v>-0.16849015317286653</v>
      </c>
      <c r="I418" s="34">
        <f>'Rådata-K'!S417</f>
        <v>0.86842105263157898</v>
      </c>
      <c r="J418" s="22">
        <f>'Rådata-K'!K417</f>
        <v>325100</v>
      </c>
      <c r="K418" s="22">
        <f>Tabell2[[#This Row],[NIBR11]]</f>
        <v>11</v>
      </c>
      <c r="L418" s="32">
        <f>IF(Tabell2[[#This Row],[ReisetidOslo]]&lt;=C$434,C$434,IF(Tabell2[[#This Row],[ReisetidOslo]]&gt;=C$435,C$435,Tabell2[[#This Row],[ReisetidOslo]]))</f>
        <v>280.45666666669001</v>
      </c>
      <c r="M418" s="32">
        <f>IF(Tabell2[[#This Row],[Beftettotal]]&lt;=D$434,D$434,IF(Tabell2[[#This Row],[Beftettotal]]&gt;=D$435,D$435,Tabell2[[#This Row],[Beftettotal]]))</f>
        <v>1.4356845268338003</v>
      </c>
      <c r="N418" s="34">
        <f>IF(Tabell2[[#This Row],[Befvekst10]]&lt;=E$434,E$434,IF(Tabell2[[#This Row],[Befvekst10]]&gt;=E$435,E$435,Tabell2[[#This Row],[Befvekst10]]))</f>
        <v>-7.6196156394963507E-2</v>
      </c>
      <c r="O418" s="34">
        <f>IF(Tabell2[[#This Row],[Kvinneandel]]&lt;=F$434,F$434,IF(Tabell2[[#This Row],[Kvinneandel]]&gt;=F$435,F$435,Tabell2[[#This Row],[Kvinneandel]]))</f>
        <v>9.0490197137593403E-2</v>
      </c>
      <c r="P418" s="34">
        <f>IF(Tabell2[[#This Row],[Eldreandel]]&lt;=G$434,G$434,IF(Tabell2[[#This Row],[Eldreandel]]&gt;=G$435,G$435,Tabell2[[#This Row],[Eldreandel]]))</f>
        <v>0.21438492803547596</v>
      </c>
      <c r="Q418" s="34">
        <f>IF(Tabell2[[#This Row],[Sysselsettingsvekst10]]&lt;=H$434,H$434,IF(Tabell2[[#This Row],[Sysselsettingsvekst10]]&gt;=H$435,H$435,Tabell2[[#This Row],[Sysselsettingsvekst10]]))</f>
        <v>-6.9733479337269061E-2</v>
      </c>
      <c r="R418" s="34">
        <f>IF(Tabell2[[#This Row],[Yrkesaktivandel]]&lt;=I$434,I$434,IF(Tabell2[[#This Row],[Yrkesaktivandel]]&gt;=I$435,I$435,Tabell2[[#This Row],[Yrkesaktivandel]]))</f>
        <v>0.86842105263157898</v>
      </c>
      <c r="S418" s="22">
        <f>IF(Tabell2[[#This Row],[Inntekt]]&lt;=J$434,J$434,IF(Tabell2[[#This Row],[Inntekt]]&gt;=J$435,J$435,Tabell2[[#This Row],[Inntekt]]))</f>
        <v>331640</v>
      </c>
      <c r="T418" s="22">
        <f>IF(Tabell2[[#This Row],[NIBR11-T]]&lt;=K$437,100,IF(Tabell2[[#This Row],[NIBR11-T]]&gt;=K$436,0,100*(K$436-Tabell2[[#This Row],[NIBR11-T]])/K$439))</f>
        <v>0</v>
      </c>
      <c r="U418" s="7">
        <f>IF(Tabell2[[#This Row],[ReisetidOslo-T]]&lt;=L$437,100,IF(Tabell2[[#This Row],[ReisetidOslo-T]]&gt;=L$436,0,100*(L$436-Tabell2[[#This Row],[ReisetidOslo-T]])/L$439))</f>
        <v>0</v>
      </c>
      <c r="V418" s="7">
        <f>100-(M$436-Tabell2[[#This Row],[Beftettotal-T]])*100/M$439</f>
        <v>8.1930739966665556E-2</v>
      </c>
      <c r="W418" s="7">
        <f>100-(N$436-Tabell2[[#This Row],[Befvekst10-T]])*100/N$439</f>
        <v>0</v>
      </c>
      <c r="X418" s="7">
        <f>100-(O$436-Tabell2[[#This Row],[Kvinneandel-T]])*100/O$439</f>
        <v>0</v>
      </c>
      <c r="Y418" s="7">
        <f>(P$436-Tabell2[[#This Row],[Eldreandel-T]])*100/P$439</f>
        <v>0</v>
      </c>
      <c r="Z418" s="7">
        <f>100-(Q$436-Tabell2[[#This Row],[Sysselsettingsvekst10-T]])*100/Q$439</f>
        <v>0</v>
      </c>
      <c r="AA418" s="7">
        <f>100-(R$436-Tabell2[[#This Row],[Yrkesaktivandel-T]])*100/R$439</f>
        <v>28.022662842081075</v>
      </c>
      <c r="AB418" s="7">
        <f>100-(S$436-Tabell2[[#This Row],[Inntekt-T]])*100/S$439</f>
        <v>0</v>
      </c>
      <c r="AC418" s="55">
        <f>Tabell2[[#This Row],[NIBR11-I]]*Vekter!$B$3</f>
        <v>0</v>
      </c>
      <c r="AD418" s="55">
        <f>Tabell2[[#This Row],[ReisetidOslo-I]]*Vekter!$C$3</f>
        <v>0</v>
      </c>
      <c r="AE418" s="55">
        <f>Tabell2[[#This Row],[Beftettotal-I]]*Vekter!$D$3</f>
        <v>8.1930739966665552E-3</v>
      </c>
      <c r="AF418" s="55">
        <f>Tabell2[[#This Row],[Befvekst10-I]]*Vekter!$E$3</f>
        <v>0</v>
      </c>
      <c r="AG418" s="55">
        <f>Tabell2[[#This Row],[Kvinneandel-I]]*Vekter!$F$3</f>
        <v>0</v>
      </c>
      <c r="AH418" s="55">
        <f>Tabell2[[#This Row],[Eldreandel-I]]*Vekter!$G$3</f>
        <v>0</v>
      </c>
      <c r="AI418" s="55">
        <f>Tabell2[[#This Row],[Sysselsettingsvekst10-I]]*Vekter!$H$3</f>
        <v>0</v>
      </c>
      <c r="AJ418" s="55">
        <f>Tabell2[[#This Row],[Yrkesaktivandel-I]]*Vekter!$J$3</f>
        <v>2.8022662842081076</v>
      </c>
      <c r="AK418" s="55">
        <f>Tabell2[[#This Row],[Inntekt-I]]*Vekter!$L$3</f>
        <v>0</v>
      </c>
      <c r="AL418" s="56">
        <f>SUM(Tabell2[[#This Row],[NIBR11-v]:[Inntekt-v]])</f>
        <v>2.8104593582047741</v>
      </c>
    </row>
    <row r="419" spans="1:38" x14ac:dyDescent="0.25">
      <c r="A419" s="2" t="s">
        <v>416</v>
      </c>
      <c r="B419">
        <f>'Rådata-K'!M418</f>
        <v>11</v>
      </c>
      <c r="C419" s="7">
        <f>'Rådata-K'!L418</f>
        <v>280.55</v>
      </c>
      <c r="D419" s="34">
        <f>'Rådata-K'!N418</f>
        <v>1.8738187381873821</v>
      </c>
      <c r="E419" s="34">
        <f>'Rådata-K'!O418</f>
        <v>-7.6263107721639134E-3</v>
      </c>
      <c r="F419" s="34">
        <f>'Rådata-K'!P418</f>
        <v>9.2219020172910657E-2</v>
      </c>
      <c r="G419" s="34">
        <f>'Rådata-K'!Q418</f>
        <v>0.17579250720461095</v>
      </c>
      <c r="H419" s="34">
        <f>'Rådata-K'!R418</f>
        <v>0.1356382978723405</v>
      </c>
      <c r="I419" s="34">
        <f>'Rådata-K'!S418</f>
        <v>0.78921568627450978</v>
      </c>
      <c r="J419" s="22">
        <f>'Rådata-K'!K418</f>
        <v>316500</v>
      </c>
      <c r="K419" s="22">
        <f>Tabell2[[#This Row],[NIBR11]]</f>
        <v>11</v>
      </c>
      <c r="L419" s="32">
        <f>IF(Tabell2[[#This Row],[ReisetidOslo]]&lt;=C$434,C$434,IF(Tabell2[[#This Row],[ReisetidOslo]]&gt;=C$435,C$435,Tabell2[[#This Row],[ReisetidOslo]]))</f>
        <v>280.45666666669001</v>
      </c>
      <c r="M419" s="32">
        <f>IF(Tabell2[[#This Row],[Beftettotal]]&lt;=D$434,D$434,IF(Tabell2[[#This Row],[Beftettotal]]&gt;=D$435,D$435,Tabell2[[#This Row],[Beftettotal]]))</f>
        <v>1.8738187381873821</v>
      </c>
      <c r="N419" s="34">
        <f>IF(Tabell2[[#This Row],[Befvekst10]]&lt;=E$434,E$434,IF(Tabell2[[#This Row],[Befvekst10]]&gt;=E$435,E$435,Tabell2[[#This Row],[Befvekst10]]))</f>
        <v>-7.6263107721639134E-3</v>
      </c>
      <c r="O419" s="34">
        <f>IF(Tabell2[[#This Row],[Kvinneandel]]&lt;=F$434,F$434,IF(Tabell2[[#This Row],[Kvinneandel]]&gt;=F$435,F$435,Tabell2[[#This Row],[Kvinneandel]]))</f>
        <v>9.2219020172910657E-2</v>
      </c>
      <c r="P419" s="34">
        <f>IF(Tabell2[[#This Row],[Eldreandel]]&lt;=G$434,G$434,IF(Tabell2[[#This Row],[Eldreandel]]&gt;=G$435,G$435,Tabell2[[#This Row],[Eldreandel]]))</f>
        <v>0.17579250720461095</v>
      </c>
      <c r="Q419" s="34">
        <f>IF(Tabell2[[#This Row],[Sysselsettingsvekst10]]&lt;=H$434,H$434,IF(Tabell2[[#This Row],[Sysselsettingsvekst10]]&gt;=H$435,H$435,Tabell2[[#This Row],[Sysselsettingsvekst10]]))</f>
        <v>0.1356382978723405</v>
      </c>
      <c r="R419" s="34">
        <f>IF(Tabell2[[#This Row],[Yrkesaktivandel]]&lt;=I$434,I$434,IF(Tabell2[[#This Row],[Yrkesaktivandel]]&gt;=I$435,I$435,Tabell2[[#This Row],[Yrkesaktivandel]]))</f>
        <v>0.83197552842263423</v>
      </c>
      <c r="S419" s="22">
        <f>IF(Tabell2[[#This Row],[Inntekt]]&lt;=J$434,J$434,IF(Tabell2[[#This Row],[Inntekt]]&gt;=J$435,J$435,Tabell2[[#This Row],[Inntekt]]))</f>
        <v>331640</v>
      </c>
      <c r="T419" s="22">
        <f>IF(Tabell2[[#This Row],[NIBR11-T]]&lt;=K$437,100,IF(Tabell2[[#This Row],[NIBR11-T]]&gt;=K$436,0,100*(K$436-Tabell2[[#This Row],[NIBR11-T]])/K$439))</f>
        <v>0</v>
      </c>
      <c r="U419" s="7">
        <f>IF(Tabell2[[#This Row],[ReisetidOslo-T]]&lt;=L$437,100,IF(Tabell2[[#This Row],[ReisetidOslo-T]]&gt;=L$436,0,100*(L$436-Tabell2[[#This Row],[ReisetidOslo-T]])/L$439))</f>
        <v>0</v>
      </c>
      <c r="V419" s="7">
        <f>100-(M$436-Tabell2[[#This Row],[Beftettotal-T]])*100/M$439</f>
        <v>0.42085856343379646</v>
      </c>
      <c r="W419" s="7">
        <f>100-(N$436-Tabell2[[#This Row],[Befvekst10-T]])*100/N$439</f>
        <v>27.6087263642914</v>
      </c>
      <c r="X419" s="7">
        <f>100-(O$436-Tabell2[[#This Row],[Kvinneandel-T]])*100/O$439</f>
        <v>4.5683828345334661</v>
      </c>
      <c r="Y419" s="7">
        <f>(P$436-Tabell2[[#This Row],[Eldreandel-T]])*100/P$439</f>
        <v>42.287719932038854</v>
      </c>
      <c r="Z419" s="7">
        <f>100-(Q$436-Tabell2[[#This Row],[Sysselsettingsvekst10-T]])*100/Q$439</f>
        <v>61.106504385366065</v>
      </c>
      <c r="AA419" s="7">
        <f>100-(R$436-Tabell2[[#This Row],[Yrkesaktivandel-T]])*100/R$439</f>
        <v>0</v>
      </c>
      <c r="AB419" s="7">
        <f>100-(S$436-Tabell2[[#This Row],[Inntekt-T]])*100/S$439</f>
        <v>0</v>
      </c>
      <c r="AC419" s="55">
        <f>Tabell2[[#This Row],[NIBR11-I]]*Vekter!$B$3</f>
        <v>0</v>
      </c>
      <c r="AD419" s="55">
        <f>Tabell2[[#This Row],[ReisetidOslo-I]]*Vekter!$C$3</f>
        <v>0</v>
      </c>
      <c r="AE419" s="55">
        <f>Tabell2[[#This Row],[Beftettotal-I]]*Vekter!$D$3</f>
        <v>4.2085856343379649E-2</v>
      </c>
      <c r="AF419" s="55">
        <f>Tabell2[[#This Row],[Befvekst10-I]]*Vekter!$E$3</f>
        <v>5.5217452728582801</v>
      </c>
      <c r="AG419" s="55">
        <f>Tabell2[[#This Row],[Kvinneandel-I]]*Vekter!$F$3</f>
        <v>0.22841914172667332</v>
      </c>
      <c r="AH419" s="55">
        <f>Tabell2[[#This Row],[Eldreandel-I]]*Vekter!$G$3</f>
        <v>2.1143859966019427</v>
      </c>
      <c r="AI419" s="55">
        <f>Tabell2[[#This Row],[Sysselsettingsvekst10-I]]*Vekter!$H$3</f>
        <v>6.1106504385366067</v>
      </c>
      <c r="AJ419" s="55">
        <f>Tabell2[[#This Row],[Yrkesaktivandel-I]]*Vekter!$J$3</f>
        <v>0</v>
      </c>
      <c r="AK419" s="55">
        <f>Tabell2[[#This Row],[Inntekt-I]]*Vekter!$L$3</f>
        <v>0</v>
      </c>
      <c r="AL419" s="56">
        <f>SUM(Tabell2[[#This Row],[NIBR11-v]:[Inntekt-v]])</f>
        <v>14.017286706066884</v>
      </c>
    </row>
    <row r="420" spans="1:38" x14ac:dyDescent="0.25">
      <c r="A420" s="2" t="s">
        <v>417</v>
      </c>
      <c r="B420">
        <f>'Rådata-K'!M419</f>
        <v>6</v>
      </c>
      <c r="C420" s="7">
        <f>'Rådata-K'!L419</f>
        <v>298.0833333333</v>
      </c>
      <c r="D420" s="34">
        <f>'Rådata-K'!N419</f>
        <v>0.56878256673299754</v>
      </c>
      <c r="E420" s="34">
        <f>'Rådata-K'!O419</f>
        <v>-2.8703703703703676E-2</v>
      </c>
      <c r="F420" s="34">
        <f>'Rådata-K'!P419</f>
        <v>8.1982840800762624E-2</v>
      </c>
      <c r="G420" s="34">
        <f>'Rådata-K'!Q419</f>
        <v>0.23927550047664442</v>
      </c>
      <c r="H420" s="34">
        <f>'Rådata-K'!R419</f>
        <v>6.7448680351906098E-2</v>
      </c>
      <c r="I420" s="34">
        <f>'Rådata-K'!S419</f>
        <v>0.83899821109123429</v>
      </c>
      <c r="J420" s="22">
        <f>'Rådata-K'!K419</f>
        <v>349700</v>
      </c>
      <c r="K420" s="22">
        <f>Tabell2[[#This Row],[NIBR11]]</f>
        <v>6</v>
      </c>
      <c r="L420" s="32">
        <f>IF(Tabell2[[#This Row],[ReisetidOslo]]&lt;=C$434,C$434,IF(Tabell2[[#This Row],[ReisetidOslo]]&gt;=C$435,C$435,Tabell2[[#This Row],[ReisetidOslo]]))</f>
        <v>280.45666666669001</v>
      </c>
      <c r="M420" s="32">
        <f>IF(Tabell2[[#This Row],[Beftettotal]]&lt;=D$434,D$434,IF(Tabell2[[#This Row],[Beftettotal]]&gt;=D$435,D$435,Tabell2[[#This Row],[Beftettotal]]))</f>
        <v>1.3297721240876861</v>
      </c>
      <c r="N420" s="34">
        <f>IF(Tabell2[[#This Row],[Befvekst10]]&lt;=E$434,E$434,IF(Tabell2[[#This Row],[Befvekst10]]&gt;=E$435,E$435,Tabell2[[#This Row],[Befvekst10]]))</f>
        <v>-2.8703703703703676E-2</v>
      </c>
      <c r="O420" s="34">
        <f>IF(Tabell2[[#This Row],[Kvinneandel]]&lt;=F$434,F$434,IF(Tabell2[[#This Row],[Kvinneandel]]&gt;=F$435,F$435,Tabell2[[#This Row],[Kvinneandel]]))</f>
        <v>9.0490197137593403E-2</v>
      </c>
      <c r="P420" s="34">
        <f>IF(Tabell2[[#This Row],[Eldreandel]]&lt;=G$434,G$434,IF(Tabell2[[#This Row],[Eldreandel]]&gt;=G$435,G$435,Tabell2[[#This Row],[Eldreandel]]))</f>
        <v>0.21438492803547596</v>
      </c>
      <c r="Q420" s="34">
        <f>IF(Tabell2[[#This Row],[Sysselsettingsvekst10]]&lt;=H$434,H$434,IF(Tabell2[[#This Row],[Sysselsettingsvekst10]]&gt;=H$435,H$435,Tabell2[[#This Row],[Sysselsettingsvekst10]]))</f>
        <v>6.7448680351906098E-2</v>
      </c>
      <c r="R420" s="34">
        <f>IF(Tabell2[[#This Row],[Yrkesaktivandel]]&lt;=I$434,I$434,IF(Tabell2[[#This Row],[Yrkesaktivandel]]&gt;=I$435,I$435,Tabell2[[#This Row],[Yrkesaktivandel]]))</f>
        <v>0.83899821109123429</v>
      </c>
      <c r="S420" s="22">
        <f>IF(Tabell2[[#This Row],[Inntekt]]&lt;=J$434,J$434,IF(Tabell2[[#This Row],[Inntekt]]&gt;=J$435,J$435,Tabell2[[#This Row],[Inntekt]]))</f>
        <v>349700</v>
      </c>
      <c r="T420" s="22">
        <f>IF(Tabell2[[#This Row],[NIBR11-T]]&lt;=K$437,100,IF(Tabell2[[#This Row],[NIBR11-T]]&gt;=K$436,0,100*(K$436-Tabell2[[#This Row],[NIBR11-T]])/K$439))</f>
        <v>50</v>
      </c>
      <c r="U420" s="7">
        <f>IF(Tabell2[[#This Row],[ReisetidOslo-T]]&lt;=L$437,100,IF(Tabell2[[#This Row],[ReisetidOslo-T]]&gt;=L$436,0,100*(L$436-Tabell2[[#This Row],[ReisetidOslo-T]])/L$439))</f>
        <v>0</v>
      </c>
      <c r="V420" s="7">
        <f>100-(M$436-Tabell2[[#This Row],[Beftettotal-T]])*100/M$439</f>
        <v>0</v>
      </c>
      <c r="W420" s="7">
        <f>100-(N$436-Tabell2[[#This Row],[Befvekst10-T]])*100/N$439</f>
        <v>19.122197502601182</v>
      </c>
      <c r="X420" s="7">
        <f>100-(O$436-Tabell2[[#This Row],[Kvinneandel-T]])*100/O$439</f>
        <v>0</v>
      </c>
      <c r="Y420" s="7">
        <f>(P$436-Tabell2[[#This Row],[Eldreandel-T]])*100/P$439</f>
        <v>0</v>
      </c>
      <c r="Z420" s="7">
        <f>100-(Q$436-Tabell2[[#This Row],[Sysselsettingsvekst10-T]])*100/Q$439</f>
        <v>40.817303898991312</v>
      </c>
      <c r="AA420" s="7">
        <f>100-(R$436-Tabell2[[#This Row],[Yrkesaktivandel-T]])*100/R$439</f>
        <v>5.3996827577748832</v>
      </c>
      <c r="AB420" s="7">
        <f>100-(S$436-Tabell2[[#This Row],[Inntekt-T]])*100/S$439</f>
        <v>20.965869514743446</v>
      </c>
      <c r="AC420" s="55">
        <f>Tabell2[[#This Row],[NIBR11-I]]*Vekter!$B$3</f>
        <v>10</v>
      </c>
      <c r="AD420" s="55">
        <f>Tabell2[[#This Row],[ReisetidOslo-I]]*Vekter!$C$3</f>
        <v>0</v>
      </c>
      <c r="AE420" s="55">
        <f>Tabell2[[#This Row],[Beftettotal-I]]*Vekter!$D$3</f>
        <v>0</v>
      </c>
      <c r="AF420" s="55">
        <f>Tabell2[[#This Row],[Befvekst10-I]]*Vekter!$E$3</f>
        <v>3.8244395005202367</v>
      </c>
      <c r="AG420" s="55">
        <f>Tabell2[[#This Row],[Kvinneandel-I]]*Vekter!$F$3</f>
        <v>0</v>
      </c>
      <c r="AH420" s="55">
        <f>Tabell2[[#This Row],[Eldreandel-I]]*Vekter!$G$3</f>
        <v>0</v>
      </c>
      <c r="AI420" s="55">
        <f>Tabell2[[#This Row],[Sysselsettingsvekst10-I]]*Vekter!$H$3</f>
        <v>4.0817303898991311</v>
      </c>
      <c r="AJ420" s="55">
        <f>Tabell2[[#This Row],[Yrkesaktivandel-I]]*Vekter!$J$3</f>
        <v>0.53996827577748829</v>
      </c>
      <c r="AK420" s="55">
        <f>Tabell2[[#This Row],[Inntekt-I]]*Vekter!$L$3</f>
        <v>2.0965869514743445</v>
      </c>
      <c r="AL420" s="56">
        <f>SUM(Tabell2[[#This Row],[NIBR11-v]:[Inntekt-v]])</f>
        <v>20.5427251176712</v>
      </c>
    </row>
    <row r="421" spans="1:38" x14ac:dyDescent="0.25">
      <c r="A421" s="2" t="s">
        <v>418</v>
      </c>
      <c r="B421">
        <f>'Rådata-K'!M420</f>
        <v>11</v>
      </c>
      <c r="C421" s="7">
        <f>'Rådata-K'!L420</f>
        <v>361.16666666699996</v>
      </c>
      <c r="D421" s="34">
        <f>'Rådata-K'!N420</f>
        <v>1.0926027011322217</v>
      </c>
      <c r="E421" s="34">
        <f>'Rådata-K'!O420</f>
        <v>-0.10911701363962667</v>
      </c>
      <c r="F421" s="34">
        <f>'Rådata-K'!P420</f>
        <v>0.10072522159548751</v>
      </c>
      <c r="G421" s="34">
        <f>'Rådata-K'!Q420</f>
        <v>0.21434327155519742</v>
      </c>
      <c r="H421" s="34">
        <f>'Rådata-K'!R420</f>
        <v>-0.11301369863013699</v>
      </c>
      <c r="I421" s="34">
        <f>'Rådata-K'!S420</f>
        <v>0.81081081081081086</v>
      </c>
      <c r="J421" s="22">
        <f>'Rådata-K'!K420</f>
        <v>341400</v>
      </c>
      <c r="K421" s="22">
        <f>Tabell2[[#This Row],[NIBR11]]</f>
        <v>11</v>
      </c>
      <c r="L421" s="32">
        <f>IF(Tabell2[[#This Row],[ReisetidOslo]]&lt;=C$434,C$434,IF(Tabell2[[#This Row],[ReisetidOslo]]&gt;=C$435,C$435,Tabell2[[#This Row],[ReisetidOslo]]))</f>
        <v>280.45666666669001</v>
      </c>
      <c r="M421" s="32">
        <f>IF(Tabell2[[#This Row],[Beftettotal]]&lt;=D$434,D$434,IF(Tabell2[[#This Row],[Beftettotal]]&gt;=D$435,D$435,Tabell2[[#This Row],[Beftettotal]]))</f>
        <v>1.3297721240876861</v>
      </c>
      <c r="N421" s="34">
        <f>IF(Tabell2[[#This Row],[Befvekst10]]&lt;=E$434,E$434,IF(Tabell2[[#This Row],[Befvekst10]]&gt;=E$435,E$435,Tabell2[[#This Row],[Befvekst10]]))</f>
        <v>-7.6196156394963507E-2</v>
      </c>
      <c r="O421" s="34">
        <f>IF(Tabell2[[#This Row],[Kvinneandel]]&lt;=F$434,F$434,IF(Tabell2[[#This Row],[Kvinneandel]]&gt;=F$435,F$435,Tabell2[[#This Row],[Kvinneandel]]))</f>
        <v>0.10072522159548751</v>
      </c>
      <c r="P421" s="34">
        <f>IF(Tabell2[[#This Row],[Eldreandel]]&lt;=G$434,G$434,IF(Tabell2[[#This Row],[Eldreandel]]&gt;=G$435,G$435,Tabell2[[#This Row],[Eldreandel]]))</f>
        <v>0.21434327155519742</v>
      </c>
      <c r="Q421" s="34">
        <f>IF(Tabell2[[#This Row],[Sysselsettingsvekst10]]&lt;=H$434,H$434,IF(Tabell2[[#This Row],[Sysselsettingsvekst10]]&gt;=H$435,H$435,Tabell2[[#This Row],[Sysselsettingsvekst10]]))</f>
        <v>-6.9733479337269061E-2</v>
      </c>
      <c r="R421" s="34">
        <f>IF(Tabell2[[#This Row],[Yrkesaktivandel]]&lt;=I$434,I$434,IF(Tabell2[[#This Row],[Yrkesaktivandel]]&gt;=I$435,I$435,Tabell2[[#This Row],[Yrkesaktivandel]]))</f>
        <v>0.83197552842263423</v>
      </c>
      <c r="S421" s="22">
        <f>IF(Tabell2[[#This Row],[Inntekt]]&lt;=J$434,J$434,IF(Tabell2[[#This Row],[Inntekt]]&gt;=J$435,J$435,Tabell2[[#This Row],[Inntekt]]))</f>
        <v>341400</v>
      </c>
      <c r="T421" s="22">
        <f>IF(Tabell2[[#This Row],[NIBR11-T]]&lt;=K$437,100,IF(Tabell2[[#This Row],[NIBR11-T]]&gt;=K$436,0,100*(K$436-Tabell2[[#This Row],[NIBR11-T]])/K$439))</f>
        <v>0</v>
      </c>
      <c r="U421" s="7">
        <f>IF(Tabell2[[#This Row],[ReisetidOslo-T]]&lt;=L$437,100,IF(Tabell2[[#This Row],[ReisetidOslo-T]]&gt;=L$436,0,100*(L$436-Tabell2[[#This Row],[ReisetidOslo-T]])/L$439))</f>
        <v>0</v>
      </c>
      <c r="V421" s="7">
        <f>100-(M$436-Tabell2[[#This Row],[Beftettotal-T]])*100/M$439</f>
        <v>0</v>
      </c>
      <c r="W421" s="7">
        <f>100-(N$436-Tabell2[[#This Row],[Befvekst10-T]])*100/N$439</f>
        <v>0</v>
      </c>
      <c r="X421" s="7">
        <f>100-(O$436-Tabell2[[#This Row],[Kvinneandel-T]])*100/O$439</f>
        <v>27.045862467868616</v>
      </c>
      <c r="Y421" s="7">
        <f>(P$436-Tabell2[[#This Row],[Eldreandel-T]])*100/P$439</f>
        <v>4.5645169011127931E-2</v>
      </c>
      <c r="Z421" s="7">
        <f>100-(Q$436-Tabell2[[#This Row],[Sysselsettingsvekst10-T]])*100/Q$439</f>
        <v>0</v>
      </c>
      <c r="AA421" s="7">
        <f>100-(R$436-Tabell2[[#This Row],[Yrkesaktivandel-T]])*100/R$439</f>
        <v>0</v>
      </c>
      <c r="AB421" s="7">
        <f>100-(S$436-Tabell2[[#This Row],[Inntekt-T]])*100/S$439</f>
        <v>11.330392384490366</v>
      </c>
      <c r="AC421" s="55">
        <f>Tabell2[[#This Row],[NIBR11-I]]*Vekter!$B$3</f>
        <v>0</v>
      </c>
      <c r="AD421" s="55">
        <f>Tabell2[[#This Row],[ReisetidOslo-I]]*Vekter!$C$3</f>
        <v>0</v>
      </c>
      <c r="AE421" s="55">
        <f>Tabell2[[#This Row],[Beftettotal-I]]*Vekter!$D$3</f>
        <v>0</v>
      </c>
      <c r="AF421" s="55">
        <f>Tabell2[[#This Row],[Befvekst10-I]]*Vekter!$E$3</f>
        <v>0</v>
      </c>
      <c r="AG421" s="55">
        <f>Tabell2[[#This Row],[Kvinneandel-I]]*Vekter!$F$3</f>
        <v>1.352293123393431</v>
      </c>
      <c r="AH421" s="55">
        <f>Tabell2[[#This Row],[Eldreandel-I]]*Vekter!$G$3</f>
        <v>2.2822584505563966E-3</v>
      </c>
      <c r="AI421" s="55">
        <f>Tabell2[[#This Row],[Sysselsettingsvekst10-I]]*Vekter!$H$3</f>
        <v>0</v>
      </c>
      <c r="AJ421" s="55">
        <f>Tabell2[[#This Row],[Yrkesaktivandel-I]]*Vekter!$J$3</f>
        <v>0</v>
      </c>
      <c r="AK421" s="55">
        <f>Tabell2[[#This Row],[Inntekt-I]]*Vekter!$L$3</f>
        <v>1.1330392384490366</v>
      </c>
      <c r="AL421" s="56">
        <f>SUM(Tabell2[[#This Row],[NIBR11-v]:[Inntekt-v]])</f>
        <v>2.4876146202930238</v>
      </c>
    </row>
    <row r="422" spans="1:38" x14ac:dyDescent="0.25">
      <c r="A422" s="2" t="s">
        <v>419</v>
      </c>
      <c r="B422">
        <f>'Rådata-K'!M421</f>
        <v>9</v>
      </c>
      <c r="C422" s="7">
        <f>'Rådata-K'!L421</f>
        <v>331.65</v>
      </c>
      <c r="D422" s="34">
        <f>'Rådata-K'!N421</f>
        <v>3.5411805375507734</v>
      </c>
      <c r="E422" s="34">
        <f>'Rådata-K'!O421</f>
        <v>-4.0117130307467108E-2</v>
      </c>
      <c r="F422" s="34">
        <f>'Rådata-K'!P421</f>
        <v>0.1076876143990238</v>
      </c>
      <c r="G422" s="34">
        <f>'Rådata-K'!Q421</f>
        <v>0.16168395363026236</v>
      </c>
      <c r="H422" s="34">
        <f>'Rådata-K'!R421</f>
        <v>2.6443980514961662E-2</v>
      </c>
      <c r="I422" s="34">
        <f>'Rådata-K'!S421</f>
        <v>0.82194616977225676</v>
      </c>
      <c r="J422" s="22">
        <f>'Rådata-K'!K421</f>
        <v>361700</v>
      </c>
      <c r="K422" s="22">
        <f>Tabell2[[#This Row],[NIBR11]]</f>
        <v>9</v>
      </c>
      <c r="L422" s="32">
        <f>IF(Tabell2[[#This Row],[ReisetidOslo]]&lt;=C$434,C$434,IF(Tabell2[[#This Row],[ReisetidOslo]]&gt;=C$435,C$435,Tabell2[[#This Row],[ReisetidOslo]]))</f>
        <v>280.45666666669001</v>
      </c>
      <c r="M422" s="32">
        <f>IF(Tabell2[[#This Row],[Beftettotal]]&lt;=D$434,D$434,IF(Tabell2[[#This Row],[Beftettotal]]&gt;=D$435,D$435,Tabell2[[#This Row],[Beftettotal]]))</f>
        <v>3.5411805375507734</v>
      </c>
      <c r="N422" s="34">
        <f>IF(Tabell2[[#This Row],[Befvekst10]]&lt;=E$434,E$434,IF(Tabell2[[#This Row],[Befvekst10]]&gt;=E$435,E$435,Tabell2[[#This Row],[Befvekst10]]))</f>
        <v>-4.0117130307467108E-2</v>
      </c>
      <c r="O422" s="34">
        <f>IF(Tabell2[[#This Row],[Kvinneandel]]&lt;=F$434,F$434,IF(Tabell2[[#This Row],[Kvinneandel]]&gt;=F$435,F$435,Tabell2[[#This Row],[Kvinneandel]]))</f>
        <v>0.1076876143990238</v>
      </c>
      <c r="P422" s="34">
        <f>IF(Tabell2[[#This Row],[Eldreandel]]&lt;=G$434,G$434,IF(Tabell2[[#This Row],[Eldreandel]]&gt;=G$435,G$435,Tabell2[[#This Row],[Eldreandel]]))</f>
        <v>0.16168395363026236</v>
      </c>
      <c r="Q422" s="34">
        <f>IF(Tabell2[[#This Row],[Sysselsettingsvekst10]]&lt;=H$434,H$434,IF(Tabell2[[#This Row],[Sysselsettingsvekst10]]&gt;=H$435,H$435,Tabell2[[#This Row],[Sysselsettingsvekst10]]))</f>
        <v>2.6443980514961662E-2</v>
      </c>
      <c r="R422" s="34">
        <f>IF(Tabell2[[#This Row],[Yrkesaktivandel]]&lt;=I$434,I$434,IF(Tabell2[[#This Row],[Yrkesaktivandel]]&gt;=I$435,I$435,Tabell2[[#This Row],[Yrkesaktivandel]]))</f>
        <v>0.83197552842263423</v>
      </c>
      <c r="S422" s="22">
        <f>IF(Tabell2[[#This Row],[Inntekt]]&lt;=J$434,J$434,IF(Tabell2[[#This Row],[Inntekt]]&gt;=J$435,J$435,Tabell2[[#This Row],[Inntekt]]))</f>
        <v>361700</v>
      </c>
      <c r="T422" s="22">
        <f>IF(Tabell2[[#This Row],[NIBR11-T]]&lt;=K$437,100,IF(Tabell2[[#This Row],[NIBR11-T]]&gt;=K$436,0,100*(K$436-Tabell2[[#This Row],[NIBR11-T]])/K$439))</f>
        <v>20</v>
      </c>
      <c r="U422" s="7">
        <f>IF(Tabell2[[#This Row],[ReisetidOslo-T]]&lt;=L$437,100,IF(Tabell2[[#This Row],[ReisetidOslo-T]]&gt;=L$436,0,100*(L$436-Tabell2[[#This Row],[ReisetidOslo-T]])/L$439))</f>
        <v>0</v>
      </c>
      <c r="V422" s="7">
        <f>100-(M$436-Tabell2[[#This Row],[Beftettotal-T]])*100/M$439</f>
        <v>1.710680930522102</v>
      </c>
      <c r="W422" s="7">
        <f>100-(N$436-Tabell2[[#This Row],[Befvekst10-T]])*100/N$439</f>
        <v>14.526734743130532</v>
      </c>
      <c r="X422" s="7">
        <f>100-(O$436-Tabell2[[#This Row],[Kvinneandel-T]])*100/O$439</f>
        <v>45.443856433235752</v>
      </c>
      <c r="Y422" s="7">
        <f>(P$436-Tabell2[[#This Row],[Eldreandel-T]])*100/P$439</f>
        <v>57.747194858811582</v>
      </c>
      <c r="Z422" s="7">
        <f>100-(Q$436-Tabell2[[#This Row],[Sysselsettingsvekst10-T]])*100/Q$439</f>
        <v>28.616728413638683</v>
      </c>
      <c r="AA422" s="7">
        <f>100-(R$436-Tabell2[[#This Row],[Yrkesaktivandel-T]])*100/R$439</f>
        <v>0</v>
      </c>
      <c r="AB422" s="7">
        <f>100-(S$436-Tabell2[[#This Row],[Inntekt-T]])*100/S$439</f>
        <v>34.896679823543067</v>
      </c>
      <c r="AC422" s="55">
        <f>Tabell2[[#This Row],[NIBR11-I]]*Vekter!$B$3</f>
        <v>4</v>
      </c>
      <c r="AD422" s="55">
        <f>Tabell2[[#This Row],[ReisetidOslo-I]]*Vekter!$C$3</f>
        <v>0</v>
      </c>
      <c r="AE422" s="55">
        <f>Tabell2[[#This Row],[Beftettotal-I]]*Vekter!$D$3</f>
        <v>0.17106809305221021</v>
      </c>
      <c r="AF422" s="55">
        <f>Tabell2[[#This Row],[Befvekst10-I]]*Vekter!$E$3</f>
        <v>2.9053469486261068</v>
      </c>
      <c r="AG422" s="55">
        <f>Tabell2[[#This Row],[Kvinneandel-I]]*Vekter!$F$3</f>
        <v>2.2721928216617875</v>
      </c>
      <c r="AH422" s="55">
        <f>Tabell2[[#This Row],[Eldreandel-I]]*Vekter!$G$3</f>
        <v>2.8873597429405793</v>
      </c>
      <c r="AI422" s="55">
        <f>Tabell2[[#This Row],[Sysselsettingsvekst10-I]]*Vekter!$H$3</f>
        <v>2.8616728413638683</v>
      </c>
      <c r="AJ422" s="55">
        <f>Tabell2[[#This Row],[Yrkesaktivandel-I]]*Vekter!$J$3</f>
        <v>0</v>
      </c>
      <c r="AK422" s="55">
        <f>Tabell2[[#This Row],[Inntekt-I]]*Vekter!$L$3</f>
        <v>3.4896679823543071</v>
      </c>
      <c r="AL422" s="56">
        <f>SUM(Tabell2[[#This Row],[NIBR11-v]:[Inntekt-v]])</f>
        <v>18.58730842999886</v>
      </c>
    </row>
    <row r="423" spans="1:38" x14ac:dyDescent="0.25">
      <c r="A423" s="2" t="s">
        <v>420</v>
      </c>
      <c r="B423">
        <f>'Rådata-K'!M422</f>
        <v>9</v>
      </c>
      <c r="C423" s="7">
        <f>'Rådata-K'!L422</f>
        <v>281.73333333332999</v>
      </c>
      <c r="D423" s="34">
        <f>'Rådata-K'!N422</f>
        <v>0.80552807752771638</v>
      </c>
      <c r="E423" s="34">
        <f>'Rådata-K'!O422</f>
        <v>-8.69969760409397E-2</v>
      </c>
      <c r="F423" s="34">
        <f>'Rådata-K'!P422</f>
        <v>0.10547770700636942</v>
      </c>
      <c r="G423" s="34">
        <f>'Rådata-K'!Q422</f>
        <v>0.16101910828025479</v>
      </c>
      <c r="H423" s="34">
        <f>'Rådata-K'!R422</f>
        <v>-3.8461538461538436E-2</v>
      </c>
      <c r="I423" s="34">
        <f>'Rådata-K'!S422</f>
        <v>0.86206896551724133</v>
      </c>
      <c r="J423" s="22">
        <f>'Rådata-K'!K422</f>
        <v>357100</v>
      </c>
      <c r="K423" s="22">
        <f>Tabell2[[#This Row],[NIBR11]]</f>
        <v>9</v>
      </c>
      <c r="L423" s="32">
        <f>IF(Tabell2[[#This Row],[ReisetidOslo]]&lt;=C$434,C$434,IF(Tabell2[[#This Row],[ReisetidOslo]]&gt;=C$435,C$435,Tabell2[[#This Row],[ReisetidOslo]]))</f>
        <v>280.45666666669001</v>
      </c>
      <c r="M423" s="32">
        <f>IF(Tabell2[[#This Row],[Beftettotal]]&lt;=D$434,D$434,IF(Tabell2[[#This Row],[Beftettotal]]&gt;=D$435,D$435,Tabell2[[#This Row],[Beftettotal]]))</f>
        <v>1.3297721240876861</v>
      </c>
      <c r="N423" s="34">
        <f>IF(Tabell2[[#This Row],[Befvekst10]]&lt;=E$434,E$434,IF(Tabell2[[#This Row],[Befvekst10]]&gt;=E$435,E$435,Tabell2[[#This Row],[Befvekst10]]))</f>
        <v>-7.6196156394963507E-2</v>
      </c>
      <c r="O423" s="34">
        <f>IF(Tabell2[[#This Row],[Kvinneandel]]&lt;=F$434,F$434,IF(Tabell2[[#This Row],[Kvinneandel]]&gt;=F$435,F$435,Tabell2[[#This Row],[Kvinneandel]]))</f>
        <v>0.10547770700636942</v>
      </c>
      <c r="P423" s="34">
        <f>IF(Tabell2[[#This Row],[Eldreandel]]&lt;=G$434,G$434,IF(Tabell2[[#This Row],[Eldreandel]]&gt;=G$435,G$435,Tabell2[[#This Row],[Eldreandel]]))</f>
        <v>0.16101910828025479</v>
      </c>
      <c r="Q423" s="34">
        <f>IF(Tabell2[[#This Row],[Sysselsettingsvekst10]]&lt;=H$434,H$434,IF(Tabell2[[#This Row],[Sysselsettingsvekst10]]&gt;=H$435,H$435,Tabell2[[#This Row],[Sysselsettingsvekst10]]))</f>
        <v>-3.8461538461538436E-2</v>
      </c>
      <c r="R423" s="34">
        <f>IF(Tabell2[[#This Row],[Yrkesaktivandel]]&lt;=I$434,I$434,IF(Tabell2[[#This Row],[Yrkesaktivandel]]&gt;=I$435,I$435,Tabell2[[#This Row],[Yrkesaktivandel]]))</f>
        <v>0.86206896551724133</v>
      </c>
      <c r="S423" s="22">
        <f>IF(Tabell2[[#This Row],[Inntekt]]&lt;=J$434,J$434,IF(Tabell2[[#This Row],[Inntekt]]&gt;=J$435,J$435,Tabell2[[#This Row],[Inntekt]]))</f>
        <v>357100</v>
      </c>
      <c r="T423" s="22">
        <f>IF(Tabell2[[#This Row],[NIBR11-T]]&lt;=K$437,100,IF(Tabell2[[#This Row],[NIBR11-T]]&gt;=K$436,0,100*(K$436-Tabell2[[#This Row],[NIBR11-T]])/K$439))</f>
        <v>20</v>
      </c>
      <c r="U423" s="7">
        <f>IF(Tabell2[[#This Row],[ReisetidOslo-T]]&lt;=L$437,100,IF(Tabell2[[#This Row],[ReisetidOslo-T]]&gt;=L$436,0,100*(L$436-Tabell2[[#This Row],[ReisetidOslo-T]])/L$439))</f>
        <v>0</v>
      </c>
      <c r="V423" s="7">
        <f>100-(M$436-Tabell2[[#This Row],[Beftettotal-T]])*100/M$439</f>
        <v>0</v>
      </c>
      <c r="W423" s="7">
        <f>100-(N$436-Tabell2[[#This Row],[Befvekst10-T]])*100/N$439</f>
        <v>0</v>
      </c>
      <c r="X423" s="7">
        <f>100-(O$436-Tabell2[[#This Row],[Kvinneandel-T]])*100/O$439</f>
        <v>39.604217099266428</v>
      </c>
      <c r="Y423" s="7">
        <f>(P$436-Tabell2[[#This Row],[Eldreandel-T]])*100/P$439</f>
        <v>58.475700439802587</v>
      </c>
      <c r="Z423" s="7">
        <f>100-(Q$436-Tabell2[[#This Row],[Sysselsettingsvekst10-T]])*100/Q$439</f>
        <v>9.3046815790632849</v>
      </c>
      <c r="AA423" s="7">
        <f>100-(R$436-Tabell2[[#This Row],[Yrkesaktivandel-T]])*100/R$439</f>
        <v>23.138595472707777</v>
      </c>
      <c r="AB423" s="7">
        <f>100-(S$436-Tabell2[[#This Row],[Inntekt-T]])*100/S$439</f>
        <v>29.556535871836545</v>
      </c>
      <c r="AC423" s="55">
        <f>Tabell2[[#This Row],[NIBR11-I]]*Vekter!$B$3</f>
        <v>4</v>
      </c>
      <c r="AD423" s="55">
        <f>Tabell2[[#This Row],[ReisetidOslo-I]]*Vekter!$C$3</f>
        <v>0</v>
      </c>
      <c r="AE423" s="55">
        <f>Tabell2[[#This Row],[Beftettotal-I]]*Vekter!$D$3</f>
        <v>0</v>
      </c>
      <c r="AF423" s="55">
        <f>Tabell2[[#This Row],[Befvekst10-I]]*Vekter!$E$3</f>
        <v>0</v>
      </c>
      <c r="AG423" s="55">
        <f>Tabell2[[#This Row],[Kvinneandel-I]]*Vekter!$F$3</f>
        <v>1.9802108549633215</v>
      </c>
      <c r="AH423" s="55">
        <f>Tabell2[[#This Row],[Eldreandel-I]]*Vekter!$G$3</f>
        <v>2.9237850219901294</v>
      </c>
      <c r="AI423" s="55">
        <f>Tabell2[[#This Row],[Sysselsettingsvekst10-I]]*Vekter!$H$3</f>
        <v>0.93046815790632853</v>
      </c>
      <c r="AJ423" s="55">
        <f>Tabell2[[#This Row],[Yrkesaktivandel-I]]*Vekter!$J$3</f>
        <v>2.3138595472707779</v>
      </c>
      <c r="AK423" s="55">
        <f>Tabell2[[#This Row],[Inntekt-I]]*Vekter!$L$3</f>
        <v>2.9556535871836545</v>
      </c>
      <c r="AL423" s="56">
        <f>SUM(Tabell2[[#This Row],[NIBR11-v]:[Inntekt-v]])</f>
        <v>15.103977169314213</v>
      </c>
    </row>
    <row r="424" spans="1:38" x14ac:dyDescent="0.25">
      <c r="A424" s="2" t="s">
        <v>421</v>
      </c>
      <c r="B424">
        <f>'Rådata-K'!M423</f>
        <v>11</v>
      </c>
      <c r="C424" s="7">
        <f>'Rådata-K'!L423</f>
        <v>335.0833333333</v>
      </c>
      <c r="D424" s="34">
        <f>'Rådata-K'!N423</f>
        <v>0.49661192565492074</v>
      </c>
      <c r="E424" s="34">
        <f>'Rådata-K'!O423</f>
        <v>-5.8414464534075061E-2</v>
      </c>
      <c r="F424" s="34">
        <f>'Rådata-K'!P423</f>
        <v>0.11262924667651403</v>
      </c>
      <c r="G424" s="34">
        <f>'Rådata-K'!Q423</f>
        <v>0.14180206794682423</v>
      </c>
      <c r="H424" s="34">
        <f>'Rådata-K'!R423</f>
        <v>8.4758942457231701E-2</v>
      </c>
      <c r="I424" s="34">
        <f>'Rådata-K'!S423</f>
        <v>0.85335797905113986</v>
      </c>
      <c r="J424" s="22">
        <f>'Rådata-K'!K423</f>
        <v>330800</v>
      </c>
      <c r="K424" s="22">
        <f>Tabell2[[#This Row],[NIBR11]]</f>
        <v>11</v>
      </c>
      <c r="L424" s="32">
        <f>IF(Tabell2[[#This Row],[ReisetidOslo]]&lt;=C$434,C$434,IF(Tabell2[[#This Row],[ReisetidOslo]]&gt;=C$435,C$435,Tabell2[[#This Row],[ReisetidOslo]]))</f>
        <v>280.45666666669001</v>
      </c>
      <c r="M424" s="32">
        <f>IF(Tabell2[[#This Row],[Beftettotal]]&lt;=D$434,D$434,IF(Tabell2[[#This Row],[Beftettotal]]&gt;=D$435,D$435,Tabell2[[#This Row],[Beftettotal]]))</f>
        <v>1.3297721240876861</v>
      </c>
      <c r="N424" s="34">
        <f>IF(Tabell2[[#This Row],[Befvekst10]]&lt;=E$434,E$434,IF(Tabell2[[#This Row],[Befvekst10]]&gt;=E$435,E$435,Tabell2[[#This Row],[Befvekst10]]))</f>
        <v>-5.8414464534075061E-2</v>
      </c>
      <c r="O424" s="34">
        <f>IF(Tabell2[[#This Row],[Kvinneandel]]&lt;=F$434,F$434,IF(Tabell2[[#This Row],[Kvinneandel]]&gt;=F$435,F$435,Tabell2[[#This Row],[Kvinneandel]]))</f>
        <v>0.11262924667651403</v>
      </c>
      <c r="P424" s="34">
        <f>IF(Tabell2[[#This Row],[Eldreandel]]&lt;=G$434,G$434,IF(Tabell2[[#This Row],[Eldreandel]]&gt;=G$435,G$435,Tabell2[[#This Row],[Eldreandel]]))</f>
        <v>0.14180206794682423</v>
      </c>
      <c r="Q424" s="34">
        <f>IF(Tabell2[[#This Row],[Sysselsettingsvekst10]]&lt;=H$434,H$434,IF(Tabell2[[#This Row],[Sysselsettingsvekst10]]&gt;=H$435,H$435,Tabell2[[#This Row],[Sysselsettingsvekst10]]))</f>
        <v>8.4758942457231701E-2</v>
      </c>
      <c r="R424" s="34">
        <f>IF(Tabell2[[#This Row],[Yrkesaktivandel]]&lt;=I$434,I$434,IF(Tabell2[[#This Row],[Yrkesaktivandel]]&gt;=I$435,I$435,Tabell2[[#This Row],[Yrkesaktivandel]]))</f>
        <v>0.85335797905113986</v>
      </c>
      <c r="S424" s="22">
        <f>IF(Tabell2[[#This Row],[Inntekt]]&lt;=J$434,J$434,IF(Tabell2[[#This Row],[Inntekt]]&gt;=J$435,J$435,Tabell2[[#This Row],[Inntekt]]))</f>
        <v>331640</v>
      </c>
      <c r="T424" s="22">
        <f>IF(Tabell2[[#This Row],[NIBR11-T]]&lt;=K$437,100,IF(Tabell2[[#This Row],[NIBR11-T]]&gt;=K$436,0,100*(K$436-Tabell2[[#This Row],[NIBR11-T]])/K$439))</f>
        <v>0</v>
      </c>
      <c r="U424" s="7">
        <f>IF(Tabell2[[#This Row],[ReisetidOslo-T]]&lt;=L$437,100,IF(Tabell2[[#This Row],[ReisetidOslo-T]]&gt;=L$436,0,100*(L$436-Tabell2[[#This Row],[ReisetidOslo-T]])/L$439))</f>
        <v>0</v>
      </c>
      <c r="V424" s="7">
        <f>100-(M$436-Tabell2[[#This Row],[Beftettotal-T]])*100/M$439</f>
        <v>0</v>
      </c>
      <c r="W424" s="7">
        <f>100-(N$436-Tabell2[[#This Row],[Befvekst10-T]])*100/N$439</f>
        <v>7.1595591388961992</v>
      </c>
      <c r="X424" s="7">
        <f>100-(O$436-Tabell2[[#This Row],[Kvinneandel-T]])*100/O$439</f>
        <v>58.502028154623133</v>
      </c>
      <c r="Y424" s="7">
        <f>(P$436-Tabell2[[#This Row],[Eldreandel-T]])*100/P$439</f>
        <v>79.532809635007013</v>
      </c>
      <c r="Z424" s="7">
        <f>100-(Q$436-Tabell2[[#This Row],[Sysselsettingsvekst10-T]])*100/Q$439</f>
        <v>45.9678149459465</v>
      </c>
      <c r="AA424" s="7">
        <f>100-(R$436-Tabell2[[#This Row],[Yrkesaktivandel-T]])*100/R$439</f>
        <v>16.44078985569918</v>
      </c>
      <c r="AB424" s="7">
        <f>100-(S$436-Tabell2[[#This Row],[Inntekt-T]])*100/S$439</f>
        <v>0</v>
      </c>
      <c r="AC424" s="55">
        <f>Tabell2[[#This Row],[NIBR11-I]]*Vekter!$B$3</f>
        <v>0</v>
      </c>
      <c r="AD424" s="55">
        <f>Tabell2[[#This Row],[ReisetidOslo-I]]*Vekter!$C$3</f>
        <v>0</v>
      </c>
      <c r="AE424" s="55">
        <f>Tabell2[[#This Row],[Beftettotal-I]]*Vekter!$D$3</f>
        <v>0</v>
      </c>
      <c r="AF424" s="55">
        <f>Tabell2[[#This Row],[Befvekst10-I]]*Vekter!$E$3</f>
        <v>1.43191182777924</v>
      </c>
      <c r="AG424" s="55">
        <f>Tabell2[[#This Row],[Kvinneandel-I]]*Vekter!$F$3</f>
        <v>2.925101407731157</v>
      </c>
      <c r="AH424" s="55">
        <f>Tabell2[[#This Row],[Eldreandel-I]]*Vekter!$G$3</f>
        <v>3.9766404817503509</v>
      </c>
      <c r="AI424" s="55">
        <f>Tabell2[[#This Row],[Sysselsettingsvekst10-I]]*Vekter!$H$3</f>
        <v>4.5967814945946506</v>
      </c>
      <c r="AJ424" s="55">
        <f>Tabell2[[#This Row],[Yrkesaktivandel-I]]*Vekter!$J$3</f>
        <v>1.644078985569918</v>
      </c>
      <c r="AK424" s="55">
        <f>Tabell2[[#This Row],[Inntekt-I]]*Vekter!$L$3</f>
        <v>0</v>
      </c>
      <c r="AL424" s="56">
        <f>SUM(Tabell2[[#This Row],[NIBR11-v]:[Inntekt-v]])</f>
        <v>14.574514197425318</v>
      </c>
    </row>
    <row r="425" spans="1:38" x14ac:dyDescent="0.25">
      <c r="A425" s="2" t="s">
        <v>422</v>
      </c>
      <c r="B425">
        <f>'Rådata-K'!M424</f>
        <v>11</v>
      </c>
      <c r="C425" s="7">
        <f>'Rådata-K'!L424</f>
        <v>386.06666666670003</v>
      </c>
      <c r="D425" s="34">
        <f>'Rådata-K'!N424</f>
        <v>0.38821760999017169</v>
      </c>
      <c r="E425" s="34">
        <f>'Rådata-K'!O424</f>
        <v>-6.0839160839160855E-2</v>
      </c>
      <c r="F425" s="34">
        <f>'Rådata-K'!P424</f>
        <v>9.3819806403574083E-2</v>
      </c>
      <c r="G425" s="34">
        <f>'Rådata-K'!Q424</f>
        <v>0.1734921816827997</v>
      </c>
      <c r="H425" s="34">
        <f>'Rådata-K'!R424</f>
        <v>9.009009009008917E-3</v>
      </c>
      <c r="I425" s="34">
        <f>'Rådata-K'!S424</f>
        <v>0.79769526248399492</v>
      </c>
      <c r="J425" s="22">
        <f>'Rådata-K'!K424</f>
        <v>324900</v>
      </c>
      <c r="K425" s="22">
        <f>Tabell2[[#This Row],[NIBR11]]</f>
        <v>11</v>
      </c>
      <c r="L425" s="32">
        <f>IF(Tabell2[[#This Row],[ReisetidOslo]]&lt;=C$434,C$434,IF(Tabell2[[#This Row],[ReisetidOslo]]&gt;=C$435,C$435,Tabell2[[#This Row],[ReisetidOslo]]))</f>
        <v>280.45666666669001</v>
      </c>
      <c r="M425" s="32">
        <f>IF(Tabell2[[#This Row],[Beftettotal]]&lt;=D$434,D$434,IF(Tabell2[[#This Row],[Beftettotal]]&gt;=D$435,D$435,Tabell2[[#This Row],[Beftettotal]]))</f>
        <v>1.3297721240876861</v>
      </c>
      <c r="N425" s="34">
        <f>IF(Tabell2[[#This Row],[Befvekst10]]&lt;=E$434,E$434,IF(Tabell2[[#This Row],[Befvekst10]]&gt;=E$435,E$435,Tabell2[[#This Row],[Befvekst10]]))</f>
        <v>-6.0839160839160855E-2</v>
      </c>
      <c r="O425" s="34">
        <f>IF(Tabell2[[#This Row],[Kvinneandel]]&lt;=F$434,F$434,IF(Tabell2[[#This Row],[Kvinneandel]]&gt;=F$435,F$435,Tabell2[[#This Row],[Kvinneandel]]))</f>
        <v>9.3819806403574083E-2</v>
      </c>
      <c r="P425" s="34">
        <f>IF(Tabell2[[#This Row],[Eldreandel]]&lt;=G$434,G$434,IF(Tabell2[[#This Row],[Eldreandel]]&gt;=G$435,G$435,Tabell2[[#This Row],[Eldreandel]]))</f>
        <v>0.1734921816827997</v>
      </c>
      <c r="Q425" s="34">
        <f>IF(Tabell2[[#This Row],[Sysselsettingsvekst10]]&lt;=H$434,H$434,IF(Tabell2[[#This Row],[Sysselsettingsvekst10]]&gt;=H$435,H$435,Tabell2[[#This Row],[Sysselsettingsvekst10]]))</f>
        <v>9.009009009008917E-3</v>
      </c>
      <c r="R425" s="34">
        <f>IF(Tabell2[[#This Row],[Yrkesaktivandel]]&lt;=I$434,I$434,IF(Tabell2[[#This Row],[Yrkesaktivandel]]&gt;=I$435,I$435,Tabell2[[#This Row],[Yrkesaktivandel]]))</f>
        <v>0.83197552842263423</v>
      </c>
      <c r="S425" s="22">
        <f>IF(Tabell2[[#This Row],[Inntekt]]&lt;=J$434,J$434,IF(Tabell2[[#This Row],[Inntekt]]&gt;=J$435,J$435,Tabell2[[#This Row],[Inntekt]]))</f>
        <v>331640</v>
      </c>
      <c r="T425" s="22">
        <f>IF(Tabell2[[#This Row],[NIBR11-T]]&lt;=K$437,100,IF(Tabell2[[#This Row],[NIBR11-T]]&gt;=K$436,0,100*(K$436-Tabell2[[#This Row],[NIBR11-T]])/K$439))</f>
        <v>0</v>
      </c>
      <c r="U425" s="7">
        <f>IF(Tabell2[[#This Row],[ReisetidOslo-T]]&lt;=L$437,100,IF(Tabell2[[#This Row],[ReisetidOslo-T]]&gt;=L$436,0,100*(L$436-Tabell2[[#This Row],[ReisetidOslo-T]])/L$439))</f>
        <v>0</v>
      </c>
      <c r="V425" s="7">
        <f>100-(M$436-Tabell2[[#This Row],[Beftettotal-T]])*100/M$439</f>
        <v>0</v>
      </c>
      <c r="W425" s="7">
        <f>100-(N$436-Tabell2[[#This Row],[Befvekst10-T]])*100/N$439</f>
        <v>6.1832877736101892</v>
      </c>
      <c r="X425" s="7">
        <f>100-(O$436-Tabell2[[#This Row],[Kvinneandel-T]])*100/O$439</f>
        <v>8.7984307853801624</v>
      </c>
      <c r="Y425" s="7">
        <f>(P$436-Tabell2[[#This Row],[Eldreandel-T]])*100/P$439</f>
        <v>44.808306081459094</v>
      </c>
      <c r="Z425" s="7">
        <f>100-(Q$436-Tabell2[[#This Row],[Sysselsettingsvekst10-T]])*100/Q$439</f>
        <v>23.429111218799591</v>
      </c>
      <c r="AA425" s="7">
        <f>100-(R$436-Tabell2[[#This Row],[Yrkesaktivandel-T]])*100/R$439</f>
        <v>0</v>
      </c>
      <c r="AB425" s="7">
        <f>100-(S$436-Tabell2[[#This Row],[Inntekt-T]])*100/S$439</f>
        <v>0</v>
      </c>
      <c r="AC425" s="55">
        <f>Tabell2[[#This Row],[NIBR11-I]]*Vekter!$B$3</f>
        <v>0</v>
      </c>
      <c r="AD425" s="55">
        <f>Tabell2[[#This Row],[ReisetidOslo-I]]*Vekter!$C$3</f>
        <v>0</v>
      </c>
      <c r="AE425" s="55">
        <f>Tabell2[[#This Row],[Beftettotal-I]]*Vekter!$D$3</f>
        <v>0</v>
      </c>
      <c r="AF425" s="55">
        <f>Tabell2[[#This Row],[Befvekst10-I]]*Vekter!$E$3</f>
        <v>1.236657554722038</v>
      </c>
      <c r="AG425" s="55">
        <f>Tabell2[[#This Row],[Kvinneandel-I]]*Vekter!$F$3</f>
        <v>0.43992153926900812</v>
      </c>
      <c r="AH425" s="55">
        <f>Tabell2[[#This Row],[Eldreandel-I]]*Vekter!$G$3</f>
        <v>2.2404153040729549</v>
      </c>
      <c r="AI425" s="55">
        <f>Tabell2[[#This Row],[Sysselsettingsvekst10-I]]*Vekter!$H$3</f>
        <v>2.342911121879959</v>
      </c>
      <c r="AJ425" s="55">
        <f>Tabell2[[#This Row],[Yrkesaktivandel-I]]*Vekter!$J$3</f>
        <v>0</v>
      </c>
      <c r="AK425" s="55">
        <f>Tabell2[[#This Row],[Inntekt-I]]*Vekter!$L$3</f>
        <v>0</v>
      </c>
      <c r="AL425" s="56">
        <f>SUM(Tabell2[[#This Row],[NIBR11-v]:[Inntekt-v]])</f>
        <v>6.2599055199439597</v>
      </c>
    </row>
    <row r="426" spans="1:38" x14ac:dyDescent="0.25">
      <c r="A426" s="2" t="s">
        <v>423</v>
      </c>
      <c r="B426">
        <f>'Rådata-K'!M425</f>
        <v>11</v>
      </c>
      <c r="C426" s="7">
        <f>'Rådata-K'!L425</f>
        <v>363.08333333333002</v>
      </c>
      <c r="D426" s="34">
        <f>'Rådata-K'!N425</f>
        <v>0.78794639705155545</v>
      </c>
      <c r="E426" s="34">
        <f>'Rådata-K'!O425</f>
        <v>1.7953321364452268E-3</v>
      </c>
      <c r="F426" s="34">
        <f>'Rådata-K'!P425</f>
        <v>0.1039426523297491</v>
      </c>
      <c r="G426" s="34">
        <f>'Rådata-K'!Q425</f>
        <v>0.16666666666666666</v>
      </c>
      <c r="H426" s="34">
        <f>'Rådata-K'!R425</f>
        <v>0.15865384615384626</v>
      </c>
      <c r="I426" s="34">
        <f>'Rådata-K'!S425</f>
        <v>0.79106628242074928</v>
      </c>
      <c r="J426" s="22">
        <f>'Rådata-K'!K425</f>
        <v>319000</v>
      </c>
      <c r="K426" s="22">
        <f>Tabell2[[#This Row],[NIBR11]]</f>
        <v>11</v>
      </c>
      <c r="L426" s="32">
        <f>IF(Tabell2[[#This Row],[ReisetidOslo]]&lt;=C$434,C$434,IF(Tabell2[[#This Row],[ReisetidOslo]]&gt;=C$435,C$435,Tabell2[[#This Row],[ReisetidOslo]]))</f>
        <v>280.45666666669001</v>
      </c>
      <c r="M426" s="32">
        <f>IF(Tabell2[[#This Row],[Beftettotal]]&lt;=D$434,D$434,IF(Tabell2[[#This Row],[Beftettotal]]&gt;=D$435,D$435,Tabell2[[#This Row],[Beftettotal]]))</f>
        <v>1.3297721240876861</v>
      </c>
      <c r="N426" s="34">
        <f>IF(Tabell2[[#This Row],[Befvekst10]]&lt;=E$434,E$434,IF(Tabell2[[#This Row],[Befvekst10]]&gt;=E$435,E$435,Tabell2[[#This Row],[Befvekst10]]))</f>
        <v>1.7953321364452268E-3</v>
      </c>
      <c r="O426" s="34">
        <f>IF(Tabell2[[#This Row],[Kvinneandel]]&lt;=F$434,F$434,IF(Tabell2[[#This Row],[Kvinneandel]]&gt;=F$435,F$435,Tabell2[[#This Row],[Kvinneandel]]))</f>
        <v>0.1039426523297491</v>
      </c>
      <c r="P426" s="34">
        <f>IF(Tabell2[[#This Row],[Eldreandel]]&lt;=G$434,G$434,IF(Tabell2[[#This Row],[Eldreandel]]&gt;=G$435,G$435,Tabell2[[#This Row],[Eldreandel]]))</f>
        <v>0.16666666666666666</v>
      </c>
      <c r="Q426" s="34">
        <f>IF(Tabell2[[#This Row],[Sysselsettingsvekst10]]&lt;=H$434,H$434,IF(Tabell2[[#This Row],[Sysselsettingsvekst10]]&gt;=H$435,H$435,Tabell2[[#This Row],[Sysselsettingsvekst10]]))</f>
        <v>0.15865384615384626</v>
      </c>
      <c r="R426" s="34">
        <f>IF(Tabell2[[#This Row],[Yrkesaktivandel]]&lt;=I$434,I$434,IF(Tabell2[[#This Row],[Yrkesaktivandel]]&gt;=I$435,I$435,Tabell2[[#This Row],[Yrkesaktivandel]]))</f>
        <v>0.83197552842263423</v>
      </c>
      <c r="S426" s="22">
        <f>IF(Tabell2[[#This Row],[Inntekt]]&lt;=J$434,J$434,IF(Tabell2[[#This Row],[Inntekt]]&gt;=J$435,J$435,Tabell2[[#This Row],[Inntekt]]))</f>
        <v>331640</v>
      </c>
      <c r="T426" s="22">
        <f>IF(Tabell2[[#This Row],[NIBR11-T]]&lt;=K$437,100,IF(Tabell2[[#This Row],[NIBR11-T]]&gt;=K$436,0,100*(K$436-Tabell2[[#This Row],[NIBR11-T]])/K$439))</f>
        <v>0</v>
      </c>
      <c r="U426" s="7">
        <f>IF(Tabell2[[#This Row],[ReisetidOslo-T]]&lt;=L$437,100,IF(Tabell2[[#This Row],[ReisetidOslo-T]]&gt;=L$436,0,100*(L$436-Tabell2[[#This Row],[ReisetidOslo-T]])/L$439))</f>
        <v>0</v>
      </c>
      <c r="V426" s="7">
        <f>100-(M$436-Tabell2[[#This Row],[Beftettotal-T]])*100/M$439</f>
        <v>0</v>
      </c>
      <c r="W426" s="7">
        <f>100-(N$436-Tabell2[[#This Row],[Befvekst10-T]])*100/N$439</f>
        <v>31.402224200013009</v>
      </c>
      <c r="X426" s="7">
        <f>100-(O$436-Tabell2[[#This Row],[Kvinneandel-T]])*100/O$439</f>
        <v>35.547863561927244</v>
      </c>
      <c r="Y426" s="7">
        <f>(P$436-Tabell2[[#This Row],[Eldreandel-T]])*100/P$439</f>
        <v>52.287377390800707</v>
      </c>
      <c r="Z426" s="7">
        <f>100-(Q$436-Tabell2[[#This Row],[Sysselsettingsvekst10-T]])*100/Q$439</f>
        <v>67.954571442603509</v>
      </c>
      <c r="AA426" s="7">
        <f>100-(R$436-Tabell2[[#This Row],[Yrkesaktivandel-T]])*100/R$439</f>
        <v>0</v>
      </c>
      <c r="AB426" s="7">
        <f>100-(S$436-Tabell2[[#This Row],[Inntekt-T]])*100/S$439</f>
        <v>0</v>
      </c>
      <c r="AC426" s="55">
        <f>Tabell2[[#This Row],[NIBR11-I]]*Vekter!$B$3</f>
        <v>0</v>
      </c>
      <c r="AD426" s="55">
        <f>Tabell2[[#This Row],[ReisetidOslo-I]]*Vekter!$C$3</f>
        <v>0</v>
      </c>
      <c r="AE426" s="55">
        <f>Tabell2[[#This Row],[Beftettotal-I]]*Vekter!$D$3</f>
        <v>0</v>
      </c>
      <c r="AF426" s="55">
        <f>Tabell2[[#This Row],[Befvekst10-I]]*Vekter!$E$3</f>
        <v>6.2804448400026018</v>
      </c>
      <c r="AG426" s="55">
        <f>Tabell2[[#This Row],[Kvinneandel-I]]*Vekter!$F$3</f>
        <v>1.7773931780963623</v>
      </c>
      <c r="AH426" s="55">
        <f>Tabell2[[#This Row],[Eldreandel-I]]*Vekter!$G$3</f>
        <v>2.6143688695400353</v>
      </c>
      <c r="AI426" s="55">
        <f>Tabell2[[#This Row],[Sysselsettingsvekst10-I]]*Vekter!$H$3</f>
        <v>6.7954571442603511</v>
      </c>
      <c r="AJ426" s="55">
        <f>Tabell2[[#This Row],[Yrkesaktivandel-I]]*Vekter!$J$3</f>
        <v>0</v>
      </c>
      <c r="AK426" s="55">
        <f>Tabell2[[#This Row],[Inntekt-I]]*Vekter!$L$3</f>
        <v>0</v>
      </c>
      <c r="AL426" s="56">
        <f>SUM(Tabell2[[#This Row],[NIBR11-v]:[Inntekt-v]])</f>
        <v>17.46766403189935</v>
      </c>
    </row>
    <row r="427" spans="1:38" x14ac:dyDescent="0.25">
      <c r="A427" s="2" t="s">
        <v>424</v>
      </c>
      <c r="B427">
        <f>'Rådata-K'!M426</f>
        <v>11</v>
      </c>
      <c r="C427" s="7">
        <f>'Rådata-K'!L426</f>
        <v>360.45</v>
      </c>
      <c r="D427" s="34">
        <f>'Rådata-K'!N426</f>
        <v>0.90926919716878529</v>
      </c>
      <c r="E427" s="34">
        <f>'Rådata-K'!O426</f>
        <v>-9.9735216240070645E-2</v>
      </c>
      <c r="F427" s="34">
        <f>'Rådata-K'!P426</f>
        <v>9.7058823529411767E-2</v>
      </c>
      <c r="G427" s="34">
        <f>'Rådata-K'!Q426</f>
        <v>0.19509803921568628</v>
      </c>
      <c r="H427" s="34">
        <f>'Rådata-K'!R426</f>
        <v>7.7108433734939696E-2</v>
      </c>
      <c r="I427" s="34">
        <f>'Rådata-K'!S426</f>
        <v>0.83986928104575165</v>
      </c>
      <c r="J427" s="22">
        <f>'Rådata-K'!K426</f>
        <v>339600</v>
      </c>
      <c r="K427" s="22">
        <f>Tabell2[[#This Row],[NIBR11]]</f>
        <v>11</v>
      </c>
      <c r="L427" s="32">
        <f>IF(Tabell2[[#This Row],[ReisetidOslo]]&lt;=C$434,C$434,IF(Tabell2[[#This Row],[ReisetidOslo]]&gt;=C$435,C$435,Tabell2[[#This Row],[ReisetidOslo]]))</f>
        <v>280.45666666669001</v>
      </c>
      <c r="M427" s="32">
        <f>IF(Tabell2[[#This Row],[Beftettotal]]&lt;=D$434,D$434,IF(Tabell2[[#This Row],[Beftettotal]]&gt;=D$435,D$435,Tabell2[[#This Row],[Beftettotal]]))</f>
        <v>1.3297721240876861</v>
      </c>
      <c r="N427" s="34">
        <f>IF(Tabell2[[#This Row],[Befvekst10]]&lt;=E$434,E$434,IF(Tabell2[[#This Row],[Befvekst10]]&gt;=E$435,E$435,Tabell2[[#This Row],[Befvekst10]]))</f>
        <v>-7.6196156394963507E-2</v>
      </c>
      <c r="O427" s="34">
        <f>IF(Tabell2[[#This Row],[Kvinneandel]]&lt;=F$434,F$434,IF(Tabell2[[#This Row],[Kvinneandel]]&gt;=F$435,F$435,Tabell2[[#This Row],[Kvinneandel]]))</f>
        <v>9.7058823529411767E-2</v>
      </c>
      <c r="P427" s="34">
        <f>IF(Tabell2[[#This Row],[Eldreandel]]&lt;=G$434,G$434,IF(Tabell2[[#This Row],[Eldreandel]]&gt;=G$435,G$435,Tabell2[[#This Row],[Eldreandel]]))</f>
        <v>0.19509803921568628</v>
      </c>
      <c r="Q427" s="34">
        <f>IF(Tabell2[[#This Row],[Sysselsettingsvekst10]]&lt;=H$434,H$434,IF(Tabell2[[#This Row],[Sysselsettingsvekst10]]&gt;=H$435,H$435,Tabell2[[#This Row],[Sysselsettingsvekst10]]))</f>
        <v>7.7108433734939696E-2</v>
      </c>
      <c r="R427" s="34">
        <f>IF(Tabell2[[#This Row],[Yrkesaktivandel]]&lt;=I$434,I$434,IF(Tabell2[[#This Row],[Yrkesaktivandel]]&gt;=I$435,I$435,Tabell2[[#This Row],[Yrkesaktivandel]]))</f>
        <v>0.83986928104575165</v>
      </c>
      <c r="S427" s="22">
        <f>IF(Tabell2[[#This Row],[Inntekt]]&lt;=J$434,J$434,IF(Tabell2[[#This Row],[Inntekt]]&gt;=J$435,J$435,Tabell2[[#This Row],[Inntekt]]))</f>
        <v>339600</v>
      </c>
      <c r="T427" s="22">
        <f>IF(Tabell2[[#This Row],[NIBR11-T]]&lt;=K$437,100,IF(Tabell2[[#This Row],[NIBR11-T]]&gt;=K$436,0,100*(K$436-Tabell2[[#This Row],[NIBR11-T]])/K$439))</f>
        <v>0</v>
      </c>
      <c r="U427" s="7">
        <f>IF(Tabell2[[#This Row],[ReisetidOslo-T]]&lt;=L$437,100,IF(Tabell2[[#This Row],[ReisetidOslo-T]]&gt;=L$436,0,100*(L$436-Tabell2[[#This Row],[ReisetidOslo-T]])/L$439))</f>
        <v>0</v>
      </c>
      <c r="V427" s="7">
        <f>100-(M$436-Tabell2[[#This Row],[Beftettotal-T]])*100/M$439</f>
        <v>0</v>
      </c>
      <c r="W427" s="7">
        <f>100-(N$436-Tabell2[[#This Row],[Befvekst10-T]])*100/N$439</f>
        <v>0</v>
      </c>
      <c r="X427" s="7">
        <f>100-(O$436-Tabell2[[#This Row],[Kvinneandel-T]])*100/O$439</f>
        <v>17.357473519167783</v>
      </c>
      <c r="Y427" s="7">
        <f>(P$436-Tabell2[[#This Row],[Eldreandel-T]])*100/P$439</f>
        <v>21.133645809525053</v>
      </c>
      <c r="Z427" s="7">
        <f>100-(Q$436-Tabell2[[#This Row],[Sysselsettingsvekst10-T]])*100/Q$439</f>
        <v>43.6914756595027</v>
      </c>
      <c r="AA427" s="7">
        <f>100-(R$436-Tabell2[[#This Row],[Yrkesaktivandel-T]])*100/R$439</f>
        <v>6.0694412583623318</v>
      </c>
      <c r="AB427" s="7">
        <f>100-(S$436-Tabell2[[#This Row],[Inntekt-T]])*100/S$439</f>
        <v>9.2407708381704197</v>
      </c>
      <c r="AC427" s="55">
        <f>Tabell2[[#This Row],[NIBR11-I]]*Vekter!$B$3</f>
        <v>0</v>
      </c>
      <c r="AD427" s="55">
        <f>Tabell2[[#This Row],[ReisetidOslo-I]]*Vekter!$C$3</f>
        <v>0</v>
      </c>
      <c r="AE427" s="55">
        <f>Tabell2[[#This Row],[Beftettotal-I]]*Vekter!$D$3</f>
        <v>0</v>
      </c>
      <c r="AF427" s="55">
        <f>Tabell2[[#This Row],[Befvekst10-I]]*Vekter!$E$3</f>
        <v>0</v>
      </c>
      <c r="AG427" s="55">
        <f>Tabell2[[#This Row],[Kvinneandel-I]]*Vekter!$F$3</f>
        <v>0.86787367595838916</v>
      </c>
      <c r="AH427" s="55">
        <f>Tabell2[[#This Row],[Eldreandel-I]]*Vekter!$G$3</f>
        <v>1.0566822904762527</v>
      </c>
      <c r="AI427" s="55">
        <f>Tabell2[[#This Row],[Sysselsettingsvekst10-I]]*Vekter!$H$3</f>
        <v>4.3691475659502705</v>
      </c>
      <c r="AJ427" s="55">
        <f>Tabell2[[#This Row],[Yrkesaktivandel-I]]*Vekter!$J$3</f>
        <v>0.60694412583623325</v>
      </c>
      <c r="AK427" s="55">
        <f>Tabell2[[#This Row],[Inntekt-I]]*Vekter!$L$3</f>
        <v>0.92407708381704201</v>
      </c>
      <c r="AL427" s="56">
        <f>SUM(Tabell2[[#This Row],[NIBR11-v]:[Inntekt-v]])</f>
        <v>7.8247247420381871</v>
      </c>
    </row>
    <row r="428" spans="1:38" x14ac:dyDescent="0.25">
      <c r="A428" s="2" t="s">
        <v>425</v>
      </c>
      <c r="B428">
        <f>'Rådata-K'!M427</f>
        <v>11</v>
      </c>
      <c r="C428" s="7">
        <f>'Rådata-K'!L427</f>
        <v>323</v>
      </c>
      <c r="D428" s="34">
        <f>'Rådata-K'!N427</f>
        <v>0.71803226085132121</v>
      </c>
      <c r="E428" s="34">
        <f>'Rådata-K'!O427</f>
        <v>-4.2146855449456733E-2</v>
      </c>
      <c r="F428" s="34">
        <f>'Rådata-K'!P427</f>
        <v>0.10209694052939154</v>
      </c>
      <c r="G428" s="34">
        <f>'Rådata-K'!Q427</f>
        <v>0.17256789274664833</v>
      </c>
      <c r="H428" s="34">
        <f>'Rådata-K'!R427</f>
        <v>9.6551724137931005E-2</v>
      </c>
      <c r="I428" s="34">
        <f>'Rådata-K'!S427</f>
        <v>0.88434579439252337</v>
      </c>
      <c r="J428" s="22">
        <f>'Rådata-K'!K427</f>
        <v>350400</v>
      </c>
      <c r="K428" s="22">
        <f>Tabell2[[#This Row],[NIBR11]]</f>
        <v>11</v>
      </c>
      <c r="L428" s="32">
        <f>IF(Tabell2[[#This Row],[ReisetidOslo]]&lt;=C$434,C$434,IF(Tabell2[[#This Row],[ReisetidOslo]]&gt;=C$435,C$435,Tabell2[[#This Row],[ReisetidOslo]]))</f>
        <v>280.45666666669001</v>
      </c>
      <c r="M428" s="32">
        <f>IF(Tabell2[[#This Row],[Beftettotal]]&lt;=D$434,D$434,IF(Tabell2[[#This Row],[Beftettotal]]&gt;=D$435,D$435,Tabell2[[#This Row],[Beftettotal]]))</f>
        <v>1.3297721240876861</v>
      </c>
      <c r="N428" s="34">
        <f>IF(Tabell2[[#This Row],[Befvekst10]]&lt;=E$434,E$434,IF(Tabell2[[#This Row],[Befvekst10]]&gt;=E$435,E$435,Tabell2[[#This Row],[Befvekst10]]))</f>
        <v>-4.2146855449456733E-2</v>
      </c>
      <c r="O428" s="34">
        <f>IF(Tabell2[[#This Row],[Kvinneandel]]&lt;=F$434,F$434,IF(Tabell2[[#This Row],[Kvinneandel]]&gt;=F$435,F$435,Tabell2[[#This Row],[Kvinneandel]]))</f>
        <v>0.10209694052939154</v>
      </c>
      <c r="P428" s="34">
        <f>IF(Tabell2[[#This Row],[Eldreandel]]&lt;=G$434,G$434,IF(Tabell2[[#This Row],[Eldreandel]]&gt;=G$435,G$435,Tabell2[[#This Row],[Eldreandel]]))</f>
        <v>0.17256789274664833</v>
      </c>
      <c r="Q428" s="34">
        <f>IF(Tabell2[[#This Row],[Sysselsettingsvekst10]]&lt;=H$434,H$434,IF(Tabell2[[#This Row],[Sysselsettingsvekst10]]&gt;=H$435,H$435,Tabell2[[#This Row],[Sysselsettingsvekst10]]))</f>
        <v>9.6551724137931005E-2</v>
      </c>
      <c r="R428" s="34">
        <f>IF(Tabell2[[#This Row],[Yrkesaktivandel]]&lt;=I$434,I$434,IF(Tabell2[[#This Row],[Yrkesaktivandel]]&gt;=I$435,I$435,Tabell2[[#This Row],[Yrkesaktivandel]]))</f>
        <v>0.88434579439252337</v>
      </c>
      <c r="S428" s="22">
        <f>IF(Tabell2[[#This Row],[Inntekt]]&lt;=J$434,J$434,IF(Tabell2[[#This Row],[Inntekt]]&gt;=J$435,J$435,Tabell2[[#This Row],[Inntekt]]))</f>
        <v>350400</v>
      </c>
      <c r="T428" s="22">
        <f>IF(Tabell2[[#This Row],[NIBR11-T]]&lt;=K$437,100,IF(Tabell2[[#This Row],[NIBR11-T]]&gt;=K$436,0,100*(K$436-Tabell2[[#This Row],[NIBR11-T]])/K$439))</f>
        <v>0</v>
      </c>
      <c r="U428" s="7">
        <f>IF(Tabell2[[#This Row],[ReisetidOslo-T]]&lt;=L$437,100,IF(Tabell2[[#This Row],[ReisetidOslo-T]]&gt;=L$436,0,100*(L$436-Tabell2[[#This Row],[ReisetidOslo-T]])/L$439))</f>
        <v>0</v>
      </c>
      <c r="V428" s="7">
        <f>100-(M$436-Tabell2[[#This Row],[Beftettotal-T]])*100/M$439</f>
        <v>0</v>
      </c>
      <c r="W428" s="7">
        <f>100-(N$436-Tabell2[[#This Row],[Befvekst10-T]])*100/N$439</f>
        <v>13.709493205965941</v>
      </c>
      <c r="X428" s="7">
        <f>100-(O$436-Tabell2[[#This Row],[Kvinneandel-T]])*100/O$439</f>
        <v>30.670604331804839</v>
      </c>
      <c r="Y428" s="7">
        <f>(P$436-Tabell2[[#This Row],[Eldreandel-T]])*100/P$439</f>
        <v>45.821097474866363</v>
      </c>
      <c r="Z428" s="7">
        <f>100-(Q$436-Tabell2[[#This Row],[Sysselsettingsvekst10-T]])*100/Q$439</f>
        <v>49.476649875839676</v>
      </c>
      <c r="AA428" s="7">
        <f>100-(R$436-Tabell2[[#This Row],[Yrkesaktivandel-T]])*100/R$439</f>
        <v>40.267065382589188</v>
      </c>
      <c r="AB428" s="7">
        <f>100-(S$436-Tabell2[[#This Row],[Inntekt-T]])*100/S$439</f>
        <v>21.778500116090086</v>
      </c>
      <c r="AC428" s="55">
        <f>Tabell2[[#This Row],[NIBR11-I]]*Vekter!$B$3</f>
        <v>0</v>
      </c>
      <c r="AD428" s="55">
        <f>Tabell2[[#This Row],[ReisetidOslo-I]]*Vekter!$C$3</f>
        <v>0</v>
      </c>
      <c r="AE428" s="55">
        <f>Tabell2[[#This Row],[Beftettotal-I]]*Vekter!$D$3</f>
        <v>0</v>
      </c>
      <c r="AF428" s="55">
        <f>Tabell2[[#This Row],[Befvekst10-I]]*Vekter!$E$3</f>
        <v>2.7418986411931883</v>
      </c>
      <c r="AG428" s="55">
        <f>Tabell2[[#This Row],[Kvinneandel-I]]*Vekter!$F$3</f>
        <v>1.533530216590242</v>
      </c>
      <c r="AH428" s="55">
        <f>Tabell2[[#This Row],[Eldreandel-I]]*Vekter!$G$3</f>
        <v>2.2910548737433181</v>
      </c>
      <c r="AI428" s="55">
        <f>Tabell2[[#This Row],[Sysselsettingsvekst10-I]]*Vekter!$H$3</f>
        <v>4.947664987583968</v>
      </c>
      <c r="AJ428" s="55">
        <f>Tabell2[[#This Row],[Yrkesaktivandel-I]]*Vekter!$J$3</f>
        <v>4.0267065382589191</v>
      </c>
      <c r="AK428" s="55">
        <f>Tabell2[[#This Row],[Inntekt-I]]*Vekter!$L$3</f>
        <v>2.1778500116090087</v>
      </c>
      <c r="AL428" s="56">
        <f>SUM(Tabell2[[#This Row],[NIBR11-v]:[Inntekt-v]])</f>
        <v>17.718705268978646</v>
      </c>
    </row>
    <row r="429" spans="1:38" x14ac:dyDescent="0.25">
      <c r="A429" s="2" t="s">
        <v>426</v>
      </c>
      <c r="B429">
        <f>'Rådata-K'!M428</f>
        <v>7</v>
      </c>
      <c r="C429" s="7">
        <f>'Rådata-K'!L428</f>
        <v>308.8333333333</v>
      </c>
      <c r="D429" s="34">
        <f>'Rådata-K'!N428</f>
        <v>0.65001043913981482</v>
      </c>
      <c r="E429" s="34">
        <f>'Rådata-K'!O428</f>
        <v>3.662597114317423E-2</v>
      </c>
      <c r="F429" s="34">
        <f>'Rådata-K'!P428</f>
        <v>9.6359743040685231E-2</v>
      </c>
      <c r="G429" s="34">
        <f>'Rådata-K'!Q428</f>
        <v>0.21199143468950749</v>
      </c>
      <c r="H429" s="34">
        <f>'Rådata-K'!R428</f>
        <v>0.2006369426751593</v>
      </c>
      <c r="I429" s="34">
        <f>'Rådata-K'!S428</f>
        <v>0.85907335907335902</v>
      </c>
      <c r="J429" s="22">
        <f>'Rådata-K'!K428</f>
        <v>334000</v>
      </c>
      <c r="K429" s="22">
        <f>Tabell2[[#This Row],[NIBR11]]</f>
        <v>7</v>
      </c>
      <c r="L429" s="32">
        <f>IF(Tabell2[[#This Row],[ReisetidOslo]]&lt;=C$434,C$434,IF(Tabell2[[#This Row],[ReisetidOslo]]&gt;=C$435,C$435,Tabell2[[#This Row],[ReisetidOslo]]))</f>
        <v>280.45666666669001</v>
      </c>
      <c r="M429" s="32">
        <f>IF(Tabell2[[#This Row],[Beftettotal]]&lt;=D$434,D$434,IF(Tabell2[[#This Row],[Beftettotal]]&gt;=D$435,D$435,Tabell2[[#This Row],[Beftettotal]]))</f>
        <v>1.3297721240876861</v>
      </c>
      <c r="N429" s="34">
        <f>IF(Tabell2[[#This Row],[Befvekst10]]&lt;=E$434,E$434,IF(Tabell2[[#This Row],[Befvekst10]]&gt;=E$435,E$435,Tabell2[[#This Row],[Befvekst10]]))</f>
        <v>3.662597114317423E-2</v>
      </c>
      <c r="O429" s="34">
        <f>IF(Tabell2[[#This Row],[Kvinneandel]]&lt;=F$434,F$434,IF(Tabell2[[#This Row],[Kvinneandel]]&gt;=F$435,F$435,Tabell2[[#This Row],[Kvinneandel]]))</f>
        <v>9.6359743040685231E-2</v>
      </c>
      <c r="P429" s="34">
        <f>IF(Tabell2[[#This Row],[Eldreandel]]&lt;=G$434,G$434,IF(Tabell2[[#This Row],[Eldreandel]]&gt;=G$435,G$435,Tabell2[[#This Row],[Eldreandel]]))</f>
        <v>0.21199143468950749</v>
      </c>
      <c r="Q429" s="34">
        <f>IF(Tabell2[[#This Row],[Sysselsettingsvekst10]]&lt;=H$434,H$434,IF(Tabell2[[#This Row],[Sysselsettingsvekst10]]&gt;=H$435,H$435,Tabell2[[#This Row],[Sysselsettingsvekst10]]))</f>
        <v>0.2006369426751593</v>
      </c>
      <c r="R429" s="34">
        <f>IF(Tabell2[[#This Row],[Yrkesaktivandel]]&lt;=I$434,I$434,IF(Tabell2[[#This Row],[Yrkesaktivandel]]&gt;=I$435,I$435,Tabell2[[#This Row],[Yrkesaktivandel]]))</f>
        <v>0.85907335907335902</v>
      </c>
      <c r="S429" s="22">
        <f>IF(Tabell2[[#This Row],[Inntekt]]&lt;=J$434,J$434,IF(Tabell2[[#This Row],[Inntekt]]&gt;=J$435,J$435,Tabell2[[#This Row],[Inntekt]]))</f>
        <v>334000</v>
      </c>
      <c r="T429" s="22">
        <f>IF(Tabell2[[#This Row],[NIBR11-T]]&lt;=K$437,100,IF(Tabell2[[#This Row],[NIBR11-T]]&gt;=K$436,0,100*(K$436-Tabell2[[#This Row],[NIBR11-T]])/K$439))</f>
        <v>40</v>
      </c>
      <c r="U429" s="7">
        <f>IF(Tabell2[[#This Row],[ReisetidOslo-T]]&lt;=L$437,100,IF(Tabell2[[#This Row],[ReisetidOslo-T]]&gt;=L$436,0,100*(L$436-Tabell2[[#This Row],[ReisetidOslo-T]])/L$439))</f>
        <v>0</v>
      </c>
      <c r="V429" s="7">
        <f>100-(M$436-Tabell2[[#This Row],[Beftettotal-T]])*100/M$439</f>
        <v>0</v>
      </c>
      <c r="W429" s="7">
        <f>100-(N$436-Tabell2[[#This Row],[Befvekst10-T]])*100/N$439</f>
        <v>45.426312670622785</v>
      </c>
      <c r="X429" s="7">
        <f>100-(O$436-Tabell2[[#This Row],[Kvinneandel-T]])*100/O$439</f>
        <v>15.510166282155225</v>
      </c>
      <c r="Y429" s="7">
        <f>(P$436-Tabell2[[#This Row],[Eldreandel-T]])*100/P$439</f>
        <v>2.6226749733347767</v>
      </c>
      <c r="Z429" s="7">
        <f>100-(Q$436-Tabell2[[#This Row],[Sysselsettingsvekst10-T]])*100/Q$439</f>
        <v>80.446259962552801</v>
      </c>
      <c r="AA429" s="7">
        <f>100-(R$436-Tabell2[[#This Row],[Yrkesaktivandel-T]])*100/R$439</f>
        <v>20.835298395590229</v>
      </c>
      <c r="AB429" s="7">
        <f>100-(S$436-Tabell2[[#This Row],[Inntekt-T]])*100/S$439</f>
        <v>2.7397260273972535</v>
      </c>
      <c r="AC429" s="55">
        <f>Tabell2[[#This Row],[NIBR11-I]]*Vekter!$B$3</f>
        <v>8</v>
      </c>
      <c r="AD429" s="55">
        <f>Tabell2[[#This Row],[ReisetidOslo-I]]*Vekter!$C$3</f>
        <v>0</v>
      </c>
      <c r="AE429" s="55">
        <f>Tabell2[[#This Row],[Beftettotal-I]]*Vekter!$D$3</f>
        <v>0</v>
      </c>
      <c r="AF429" s="55">
        <f>Tabell2[[#This Row],[Befvekst10-I]]*Vekter!$E$3</f>
        <v>9.0852625341245581</v>
      </c>
      <c r="AG429" s="55">
        <f>Tabell2[[#This Row],[Kvinneandel-I]]*Vekter!$F$3</f>
        <v>0.77550831410776133</v>
      </c>
      <c r="AH429" s="55">
        <f>Tabell2[[#This Row],[Eldreandel-I]]*Vekter!$G$3</f>
        <v>0.13113374866673885</v>
      </c>
      <c r="AI429" s="55">
        <f>Tabell2[[#This Row],[Sysselsettingsvekst10-I]]*Vekter!$H$3</f>
        <v>8.0446259962552809</v>
      </c>
      <c r="AJ429" s="55">
        <f>Tabell2[[#This Row],[Yrkesaktivandel-I]]*Vekter!$J$3</f>
        <v>2.0835298395590232</v>
      </c>
      <c r="AK429" s="55">
        <f>Tabell2[[#This Row],[Inntekt-I]]*Vekter!$L$3</f>
        <v>0.27397260273972535</v>
      </c>
      <c r="AL429" s="56">
        <f>SUM(Tabell2[[#This Row],[NIBR11-v]:[Inntekt-v]])</f>
        <v>28.394033035453088</v>
      </c>
    </row>
    <row r="430" spans="1:38" x14ac:dyDescent="0.25">
      <c r="A430" s="2" t="s">
        <v>427</v>
      </c>
      <c r="B430">
        <f>'Rådata-K'!M429</f>
        <v>9</v>
      </c>
      <c r="C430" s="7">
        <f>'Rådata-K'!L429</f>
        <v>359.25</v>
      </c>
      <c r="D430" s="34">
        <f>'Rådata-K'!N429</f>
        <v>1.5577952492472398</v>
      </c>
      <c r="E430" s="34">
        <f>'Rådata-K'!O429</f>
        <v>2.2883295194507935E-2</v>
      </c>
      <c r="F430" s="34">
        <f>'Rådata-K'!P429</f>
        <v>0.11230425055928411</v>
      </c>
      <c r="G430" s="34">
        <f>'Rådata-K'!Q429</f>
        <v>0.13422818791946309</v>
      </c>
      <c r="H430" s="34">
        <f>'Rådata-K'!R429</f>
        <v>0.11503531786074661</v>
      </c>
      <c r="I430" s="34">
        <f>'Rådata-K'!S429</f>
        <v>0.82348703170028814</v>
      </c>
      <c r="J430" s="22">
        <f>'Rådata-K'!K429</f>
        <v>343500</v>
      </c>
      <c r="K430" s="22">
        <f>Tabell2[[#This Row],[NIBR11]]</f>
        <v>9</v>
      </c>
      <c r="L430" s="32">
        <f>IF(Tabell2[[#This Row],[ReisetidOslo]]&lt;=C$434,C$434,IF(Tabell2[[#This Row],[ReisetidOslo]]&gt;=C$435,C$435,Tabell2[[#This Row],[ReisetidOslo]]))</f>
        <v>280.45666666669001</v>
      </c>
      <c r="M430" s="32">
        <f>IF(Tabell2[[#This Row],[Beftettotal]]&lt;=D$434,D$434,IF(Tabell2[[#This Row],[Beftettotal]]&gt;=D$435,D$435,Tabell2[[#This Row],[Beftettotal]]))</f>
        <v>1.5577952492472398</v>
      </c>
      <c r="N430" s="34">
        <f>IF(Tabell2[[#This Row],[Befvekst10]]&lt;=E$434,E$434,IF(Tabell2[[#This Row],[Befvekst10]]&gt;=E$435,E$435,Tabell2[[#This Row],[Befvekst10]]))</f>
        <v>2.2883295194507935E-2</v>
      </c>
      <c r="O430" s="34">
        <f>IF(Tabell2[[#This Row],[Kvinneandel]]&lt;=F$434,F$434,IF(Tabell2[[#This Row],[Kvinneandel]]&gt;=F$435,F$435,Tabell2[[#This Row],[Kvinneandel]]))</f>
        <v>0.11230425055928411</v>
      </c>
      <c r="P430" s="34">
        <f>IF(Tabell2[[#This Row],[Eldreandel]]&lt;=G$434,G$434,IF(Tabell2[[#This Row],[Eldreandel]]&gt;=G$435,G$435,Tabell2[[#This Row],[Eldreandel]]))</f>
        <v>0.13422818791946309</v>
      </c>
      <c r="Q430" s="34">
        <f>IF(Tabell2[[#This Row],[Sysselsettingsvekst10]]&lt;=H$434,H$434,IF(Tabell2[[#This Row],[Sysselsettingsvekst10]]&gt;=H$435,H$435,Tabell2[[#This Row],[Sysselsettingsvekst10]]))</f>
        <v>0.11503531786074661</v>
      </c>
      <c r="R430" s="34">
        <f>IF(Tabell2[[#This Row],[Yrkesaktivandel]]&lt;=I$434,I$434,IF(Tabell2[[#This Row],[Yrkesaktivandel]]&gt;=I$435,I$435,Tabell2[[#This Row],[Yrkesaktivandel]]))</f>
        <v>0.83197552842263423</v>
      </c>
      <c r="S430" s="22">
        <f>IF(Tabell2[[#This Row],[Inntekt]]&lt;=J$434,J$434,IF(Tabell2[[#This Row],[Inntekt]]&gt;=J$435,J$435,Tabell2[[#This Row],[Inntekt]]))</f>
        <v>343500</v>
      </c>
      <c r="T430" s="22">
        <f>IF(Tabell2[[#This Row],[NIBR11-T]]&lt;=K$437,100,IF(Tabell2[[#This Row],[NIBR11-T]]&gt;=K$436,0,100*(K$436-Tabell2[[#This Row],[NIBR11-T]])/K$439))</f>
        <v>20</v>
      </c>
      <c r="U430" s="7">
        <f>IF(Tabell2[[#This Row],[ReisetidOslo-T]]&lt;=L$437,100,IF(Tabell2[[#This Row],[ReisetidOslo-T]]&gt;=L$436,0,100*(L$436-Tabell2[[#This Row],[ReisetidOslo-T]])/L$439))</f>
        <v>0</v>
      </c>
      <c r="V430" s="7">
        <f>100-(M$436-Tabell2[[#This Row],[Beftettotal-T]])*100/M$439</f>
        <v>0.17639202670738996</v>
      </c>
      <c r="W430" s="7">
        <f>100-(N$436-Tabell2[[#This Row],[Befvekst10-T]])*100/N$439</f>
        <v>39.893008981023996</v>
      </c>
      <c r="X430" s="7">
        <f>100-(O$436-Tabell2[[#This Row],[Kvinneandel-T]])*100/O$439</f>
        <v>57.643231937247009</v>
      </c>
      <c r="Y430" s="7">
        <f>(P$436-Tabell2[[#This Row],[Eldreandel-T]])*100/P$439</f>
        <v>87.831903356014507</v>
      </c>
      <c r="Z430" s="7">
        <f>100-(Q$436-Tabell2[[#This Row],[Sysselsettingsvekst10-T]])*100/Q$439</f>
        <v>54.976275073744944</v>
      </c>
      <c r="AA430" s="7">
        <f>100-(R$436-Tabell2[[#This Row],[Yrkesaktivandel-T]])*100/R$439</f>
        <v>0</v>
      </c>
      <c r="AB430" s="7">
        <f>100-(S$436-Tabell2[[#This Row],[Inntekt-T]])*100/S$439</f>
        <v>13.768284188530302</v>
      </c>
      <c r="AC430" s="55">
        <f>Tabell2[[#This Row],[NIBR11-I]]*Vekter!$B$3</f>
        <v>4</v>
      </c>
      <c r="AD430" s="55">
        <f>Tabell2[[#This Row],[ReisetidOslo-I]]*Vekter!$C$3</f>
        <v>0</v>
      </c>
      <c r="AE430" s="55">
        <f>Tabell2[[#This Row],[Beftettotal-I]]*Vekter!$D$3</f>
        <v>1.7639202670738995E-2</v>
      </c>
      <c r="AF430" s="55">
        <f>Tabell2[[#This Row],[Befvekst10-I]]*Vekter!$E$3</f>
        <v>7.9786017962047993</v>
      </c>
      <c r="AG430" s="55">
        <f>Tabell2[[#This Row],[Kvinneandel-I]]*Vekter!$F$3</f>
        <v>2.8821615968623506</v>
      </c>
      <c r="AH430" s="55">
        <f>Tabell2[[#This Row],[Eldreandel-I]]*Vekter!$G$3</f>
        <v>4.3915951678007259</v>
      </c>
      <c r="AI430" s="55">
        <f>Tabell2[[#This Row],[Sysselsettingsvekst10-I]]*Vekter!$H$3</f>
        <v>5.4976275073744949</v>
      </c>
      <c r="AJ430" s="55">
        <f>Tabell2[[#This Row],[Yrkesaktivandel-I]]*Vekter!$J$3</f>
        <v>0</v>
      </c>
      <c r="AK430" s="55">
        <f>Tabell2[[#This Row],[Inntekt-I]]*Vekter!$L$3</f>
        <v>1.3768284188530302</v>
      </c>
      <c r="AL430" s="56">
        <f>SUM(Tabell2[[#This Row],[NIBR11-v]:[Inntekt-v]])</f>
        <v>26.144453689766141</v>
      </c>
    </row>
    <row r="431" spans="1:38" x14ac:dyDescent="0.25">
      <c r="A431" s="2" t="s">
        <v>428</v>
      </c>
      <c r="B431">
        <f>'Rådata-K'!M430</f>
        <v>9</v>
      </c>
      <c r="C431" s="7">
        <f>'Rådata-K'!L430</f>
        <v>237.35</v>
      </c>
      <c r="D431" s="34">
        <f>'Rådata-K'!N430</f>
        <v>2.5735090466862389</v>
      </c>
      <c r="E431" s="34">
        <f>'Rådata-K'!O430</f>
        <v>8.0101447743844423E-2</v>
      </c>
      <c r="F431" s="34">
        <f>'Rådata-K'!P430</f>
        <v>0.12630858037374035</v>
      </c>
      <c r="G431" s="34">
        <f>'Rådata-K'!Q430</f>
        <v>0.13951668134233441</v>
      </c>
      <c r="H431" s="34">
        <f>'Rådata-K'!R430</f>
        <v>0.32046511627906971</v>
      </c>
      <c r="I431" s="34">
        <f>'Rådata-K'!S430</f>
        <v>0.88271306589334619</v>
      </c>
      <c r="J431" s="22">
        <f>'Rådata-K'!K430</f>
        <v>383800</v>
      </c>
      <c r="K431" s="22">
        <f>Tabell2[[#This Row],[NIBR11]]</f>
        <v>9</v>
      </c>
      <c r="L431" s="32">
        <f>IF(Tabell2[[#This Row],[ReisetidOslo]]&lt;=C$434,C$434,IF(Tabell2[[#This Row],[ReisetidOslo]]&gt;=C$435,C$435,Tabell2[[#This Row],[ReisetidOslo]]))</f>
        <v>237.35</v>
      </c>
      <c r="M431" s="32">
        <f>IF(Tabell2[[#This Row],[Beftettotal]]&lt;=D$434,D$434,IF(Tabell2[[#This Row],[Beftettotal]]&gt;=D$435,D$435,Tabell2[[#This Row],[Beftettotal]]))</f>
        <v>2.5735090466862389</v>
      </c>
      <c r="N431" s="34">
        <f>IF(Tabell2[[#This Row],[Befvekst10]]&lt;=E$434,E$434,IF(Tabell2[[#This Row],[Befvekst10]]&gt;=E$435,E$435,Tabell2[[#This Row],[Befvekst10]]))</f>
        <v>8.0101447743844423E-2</v>
      </c>
      <c r="O431" s="34">
        <f>IF(Tabell2[[#This Row],[Kvinneandel]]&lt;=F$434,F$434,IF(Tabell2[[#This Row],[Kvinneandel]]&gt;=F$435,F$435,Tabell2[[#This Row],[Kvinneandel]]))</f>
        <v>0.12630858037374035</v>
      </c>
      <c r="P431" s="34">
        <f>IF(Tabell2[[#This Row],[Eldreandel]]&lt;=G$434,G$434,IF(Tabell2[[#This Row],[Eldreandel]]&gt;=G$435,G$435,Tabell2[[#This Row],[Eldreandel]]))</f>
        <v>0.13951668134233441</v>
      </c>
      <c r="Q431" s="34">
        <f>IF(Tabell2[[#This Row],[Sysselsettingsvekst10]]&lt;=H$434,H$434,IF(Tabell2[[#This Row],[Sysselsettingsvekst10]]&gt;=H$435,H$435,Tabell2[[#This Row],[Sysselsettingsvekst10]]))</f>
        <v>0.26635476409167841</v>
      </c>
      <c r="R431" s="34">
        <f>IF(Tabell2[[#This Row],[Yrkesaktivandel]]&lt;=I$434,I$434,IF(Tabell2[[#This Row],[Yrkesaktivandel]]&gt;=I$435,I$435,Tabell2[[#This Row],[Yrkesaktivandel]]))</f>
        <v>0.88271306589334619</v>
      </c>
      <c r="S431" s="22">
        <f>IF(Tabell2[[#This Row],[Inntekt]]&lt;=J$434,J$434,IF(Tabell2[[#This Row],[Inntekt]]&gt;=J$435,J$435,Tabell2[[#This Row],[Inntekt]]))</f>
        <v>383800</v>
      </c>
      <c r="T431" s="22">
        <f>IF(Tabell2[[#This Row],[NIBR11-T]]&lt;=K$437,100,IF(Tabell2[[#This Row],[NIBR11-T]]&gt;=K$436,0,100*(K$436-Tabell2[[#This Row],[NIBR11-T]])/K$439))</f>
        <v>20</v>
      </c>
      <c r="U431" s="7">
        <f>IF(Tabell2[[#This Row],[ReisetidOslo-T]]&lt;=L$437,100,IF(Tabell2[[#This Row],[ReisetidOslo-T]]&gt;=L$436,0,100*(L$436-Tabell2[[#This Row],[ReisetidOslo-T]])/L$439))</f>
        <v>18.913345521032074</v>
      </c>
      <c r="V431" s="7">
        <f>100-(M$436-Tabell2[[#This Row],[Beftettotal-T]])*100/M$439</f>
        <v>0.96211854089118276</v>
      </c>
      <c r="W431" s="7">
        <f>100-(N$436-Tabell2[[#This Row],[Befvekst10-T]])*100/N$439</f>
        <v>62.931128761764079</v>
      </c>
      <c r="X431" s="7">
        <f>100-(O$436-Tabell2[[#This Row],[Kvinneandel-T]])*100/O$439</f>
        <v>94.649413961983129</v>
      </c>
      <c r="Y431" s="7">
        <f>(P$436-Tabell2[[#This Row],[Eldreandel-T]])*100/P$439</f>
        <v>82.03702643681504</v>
      </c>
      <c r="Z431" s="7">
        <f>100-(Q$436-Tabell2[[#This Row],[Sysselsettingsvekst10-T]])*100/Q$439</f>
        <v>100</v>
      </c>
      <c r="AA431" s="7">
        <f>100-(R$436-Tabell2[[#This Row],[Yrkesaktivandel-T]])*100/R$439</f>
        <v>39.011673911669703</v>
      </c>
      <c r="AB431" s="7">
        <f>100-(S$436-Tabell2[[#This Row],[Inntekt-T]])*100/S$439</f>
        <v>60.552588808915722</v>
      </c>
      <c r="AC431" s="55">
        <f>Tabell2[[#This Row],[NIBR11-I]]*Vekter!$B$3</f>
        <v>4</v>
      </c>
      <c r="AD431" s="55">
        <f>Tabell2[[#This Row],[ReisetidOslo-I]]*Vekter!$C$3</f>
        <v>1.8913345521032074</v>
      </c>
      <c r="AE431" s="55">
        <f>Tabell2[[#This Row],[Beftettotal-I]]*Vekter!$D$3</f>
        <v>9.6211854089118282E-2</v>
      </c>
      <c r="AF431" s="55">
        <f>Tabell2[[#This Row],[Befvekst10-I]]*Vekter!$E$3</f>
        <v>12.586225752352817</v>
      </c>
      <c r="AG431" s="55">
        <f>Tabell2[[#This Row],[Kvinneandel-I]]*Vekter!$F$3</f>
        <v>4.7324706980991564</v>
      </c>
      <c r="AH431" s="55">
        <f>Tabell2[[#This Row],[Eldreandel-I]]*Vekter!$G$3</f>
        <v>4.1018513218407522</v>
      </c>
      <c r="AI431" s="55">
        <f>Tabell2[[#This Row],[Sysselsettingsvekst10-I]]*Vekter!$H$3</f>
        <v>10</v>
      </c>
      <c r="AJ431" s="55">
        <f>Tabell2[[#This Row],[Yrkesaktivandel-I]]*Vekter!$J$3</f>
        <v>3.9011673911669704</v>
      </c>
      <c r="AK431" s="55">
        <f>Tabell2[[#This Row],[Inntekt-I]]*Vekter!$L$3</f>
        <v>6.0552588808915724</v>
      </c>
      <c r="AL431" s="56">
        <f>SUM(Tabell2[[#This Row],[NIBR11-v]:[Inntekt-v]])</f>
        <v>47.364520450543594</v>
      </c>
    </row>
    <row r="434" spans="1:23" x14ac:dyDescent="0.25">
      <c r="A434" s="8" t="s">
        <v>453</v>
      </c>
      <c r="B434" s="8">
        <f>PERCENTILE(Tabell2[NIBR11],0.1)</f>
        <v>1</v>
      </c>
      <c r="C434" s="23">
        <f>PERCENTILE(Tabell2[ReisetidOslo],0.1)</f>
        <v>52.54</v>
      </c>
      <c r="D434" s="23">
        <f>PERCENTILE(Tabell2[Beftettotal],0.1)</f>
        <v>1.3297721240876861</v>
      </c>
      <c r="E434" s="23">
        <f>PERCENTILE(Tabell2[Befvekst10],0.1)</f>
        <v>-7.6196156394963507E-2</v>
      </c>
      <c r="F434" s="23">
        <f>PERCENTILE(Tabell2[Kvinneandel],0.1)</f>
        <v>9.0490197137593403E-2</v>
      </c>
      <c r="G434" s="24">
        <f>PERCENTILE(Tabell2[Eldreandel],0.1)</f>
        <v>0.12312339657223466</v>
      </c>
      <c r="H434" s="24">
        <f>PERCENTILE(Tabell2[Sysselsettingsvekst10],0.1)</f>
        <v>-6.9733479337269061E-2</v>
      </c>
      <c r="I434" s="24">
        <f>PERCENTILE(Tabell2[Yrkesaktivandel],0.1)</f>
        <v>0.83197552842263423</v>
      </c>
      <c r="J434" s="24">
        <f>PERCENTILE(Tabell2[Inntekt],0.1)</f>
        <v>331640</v>
      </c>
      <c r="K434" s="25">
        <f>PERCENTILE(Tabell2[NIBR11-T],0.1)</f>
        <v>1</v>
      </c>
      <c r="L434" s="25">
        <f>PERCENTILE(Tabell2[ReisetidOslo-T],0.1)</f>
        <v>52.686999999999998</v>
      </c>
      <c r="M434" s="25">
        <f>PERCENTILE(Tabell2[Beftettotal-T],0.1)</f>
        <v>1.3534923083975077</v>
      </c>
      <c r="N434" s="25">
        <f>PERCENTILE(Tabell2[Befvekst10-T],0.1)</f>
        <v>-7.6192180251822353E-2</v>
      </c>
      <c r="O434" s="25">
        <f>PERCENTILE(Tabell2[Kvinneandel-T],0.1)</f>
        <v>9.0523894377819616E-2</v>
      </c>
      <c r="P434" s="28">
        <f>PERCENTILE(Tabell2[Eldreandel-T],0.1)</f>
        <v>0.12317276041653732</v>
      </c>
      <c r="Q434" s="28">
        <f>PERCENTILE(Tabell2[Sysselsettingsvekst10-T],0.1)</f>
        <v>-6.9094201104551486E-2</v>
      </c>
      <c r="R434" s="28">
        <f>PERCENTILE(Tabell2[Yrkesaktivandel-T],0.1)</f>
        <v>0.83206179432925942</v>
      </c>
      <c r="S434" s="28">
        <f>PERCENTILE(Tabell2[Inntekt-T],0.1)</f>
        <v>331682</v>
      </c>
      <c r="T434" s="28">
        <f>PERCENTILE(Tabell2[NIBR11-I],0.1)</f>
        <v>0</v>
      </c>
      <c r="U434" s="25">
        <f>PERCENTILE(Tabell2[ReisetidOslo-I],0.1)</f>
        <v>1.228519195305673E-2</v>
      </c>
      <c r="V434" s="30"/>
      <c r="W434" s="30"/>
    </row>
    <row r="435" spans="1:23" x14ac:dyDescent="0.25">
      <c r="A435" s="8" t="s">
        <v>454</v>
      </c>
      <c r="B435" s="8">
        <f>PERCENTILE(Tabell2[NIBR11],0.9)</f>
        <v>11</v>
      </c>
      <c r="C435" s="23">
        <f>PERCENTILE(Tabell2[ReisetidOslo],0.9)</f>
        <v>280.45666666669001</v>
      </c>
      <c r="D435" s="23">
        <f>PERCENTILE(Tabell2[Beftettotal],0.9)</f>
        <v>130.60042534801397</v>
      </c>
      <c r="E435" s="23">
        <f>PERCENTILE(Tabell2[Befvekst10],0.9)</f>
        <v>0.17216678769030419</v>
      </c>
      <c r="F435" s="23">
        <f>PERCENTILE(Tabell2[Kvinneandel],0.9)</f>
        <v>0.12833341426573511</v>
      </c>
      <c r="G435" s="24">
        <f>PERCENTILE(Tabell2[Eldreandel],0.9)</f>
        <v>0.21438492803547596</v>
      </c>
      <c r="H435" s="24">
        <f>PERCENTILE(Tabell2[Sysselsettingsvekst10],0.9)</f>
        <v>0.26635476409167841</v>
      </c>
      <c r="I435" s="24">
        <f>PERCENTILE(Tabell2[Yrkesaktivandel],0.9)</f>
        <v>0.96203284815106216</v>
      </c>
      <c r="J435" s="24">
        <f>PERCENTILE(Tabell2[Inntekt],0.9)</f>
        <v>417780</v>
      </c>
      <c r="K435" s="25">
        <f>PERCENTILE(Tabell2[NIBR11-T],0.9)</f>
        <v>11</v>
      </c>
      <c r="L435" s="25">
        <f>PERCENTILE(Tabell2[ReisetidOslo-T],0.9)</f>
        <v>280.42866666669698</v>
      </c>
      <c r="M435" s="25">
        <f>PERCENTILE(Tabell2[Beftettotal-T],0.9)</f>
        <v>130.19961264267837</v>
      </c>
      <c r="N435" s="25">
        <f>PERCENTILE(Tabell2[Befvekst10-T],0.9)</f>
        <v>0.17207225520213543</v>
      </c>
      <c r="O435" s="25">
        <f>PERCENTILE(Tabell2[Kvinneandel-T],0.9)</f>
        <v>0.12832788030475964</v>
      </c>
      <c r="P435" s="28">
        <f>PERCENTILE(Tabell2[Eldreandel-T],0.9)</f>
        <v>0.21435576849928098</v>
      </c>
      <c r="Q435" s="28">
        <f>PERCENTILE(Tabell2[Sysselsettingsvekst10-T],0.9)</f>
        <v>0.26615220149356883</v>
      </c>
      <c r="R435" s="28">
        <f>PERCENTILE(Tabell2[Yrkesaktivandel-T],0.9)</f>
        <v>0.96193302517702595</v>
      </c>
      <c r="S435" s="28">
        <f>PERCENTILE(Tabell2[Inntekt-T],0.9)</f>
        <v>417654</v>
      </c>
      <c r="T435" s="28">
        <f>PERCENTILE(Tabell2[NIBR11-I],0.9)</f>
        <v>100</v>
      </c>
      <c r="U435" s="25">
        <f>PERCENTILE(Tabell2[ReisetidOslo-I],0.9)</f>
        <v>99.935502742230355</v>
      </c>
      <c r="V435" s="30"/>
      <c r="W435" s="30"/>
    </row>
    <row r="436" spans="1:23" x14ac:dyDescent="0.25">
      <c r="A436" s="8" t="s">
        <v>455</v>
      </c>
      <c r="B436" s="8">
        <f>MAXA(Tabell2[NIBR11])</f>
        <v>11</v>
      </c>
      <c r="C436" s="23">
        <f>MAXA(Tabell2[ReisetidOslo])</f>
        <v>398.9</v>
      </c>
      <c r="D436" s="23">
        <f>MAXA(Tabell2[Beftettotal])</f>
        <v>1851.4646110721792</v>
      </c>
      <c r="E436" s="23">
        <f>MAXA(Tabell2[Befvekst10])</f>
        <v>0.43104477611940295</v>
      </c>
      <c r="F436" s="23">
        <f>MAXA(Tabell2[Kvinneandel])</f>
        <v>0.18398705525602307</v>
      </c>
      <c r="G436" s="24">
        <f>MAXA(Tabell2[Eldreandel])</f>
        <v>0.27526132404181186</v>
      </c>
      <c r="H436" s="24">
        <f>MAXA(Tabell2[Sysselsettingsvekst10])</f>
        <v>0.8182801904487087</v>
      </c>
      <c r="I436" s="24">
        <f>MAXA(Tabell2[Yrkesaktivandel])</f>
        <v>1.0450819672131149</v>
      </c>
      <c r="J436" s="24">
        <f>MAXA(Tabell2[Inntekt])</f>
        <v>548300</v>
      </c>
      <c r="K436" s="25">
        <f>MAXA(Tabell2[NIBR11-T])</f>
        <v>11</v>
      </c>
      <c r="L436" s="25">
        <f>MAXA(Tabell2[ReisetidOslo-T])</f>
        <v>280.45666666669001</v>
      </c>
      <c r="M436" s="25">
        <f>MAXA(Tabell2[Beftettotal-T])</f>
        <v>130.60042534801397</v>
      </c>
      <c r="N436" s="25">
        <f>MAXA(Tabell2[Befvekst10-T])</f>
        <v>0.17216678769030419</v>
      </c>
      <c r="O436" s="25">
        <f>MAXA(Tabell2[Kvinneandel-T])</f>
        <v>0.12833341426573511</v>
      </c>
      <c r="P436" s="28">
        <f>MAXA(Tabell2[Eldreandel-T])</f>
        <v>0.21438492803547596</v>
      </c>
      <c r="Q436" s="28">
        <f>MAXA(Tabell2[Sysselsettingsvekst10-T])</f>
        <v>0.26635476409167841</v>
      </c>
      <c r="R436" s="28">
        <f>MAXA(Tabell2[Yrkesaktivandel-T])</f>
        <v>0.96203284815106216</v>
      </c>
      <c r="S436" s="28">
        <f>MAXA(Tabell2[Inntekt-T])</f>
        <v>417780</v>
      </c>
      <c r="T436" s="28">
        <f>MAXA(Tabell2[NIBR11-I])</f>
        <v>100</v>
      </c>
      <c r="U436" s="25">
        <f>MAXA(Tabell2[ReisetidOslo-I])</f>
        <v>100</v>
      </c>
      <c r="V436" s="30"/>
      <c r="W436" s="30"/>
    </row>
    <row r="437" spans="1:23" x14ac:dyDescent="0.25">
      <c r="A437" s="8" t="s">
        <v>456</v>
      </c>
      <c r="B437" s="8">
        <f>MINA(Tabell2[NIBR11])</f>
        <v>1</v>
      </c>
      <c r="C437" s="23">
        <f>MINA(Tabell2[ReisetidOslo])</f>
        <v>1.3</v>
      </c>
      <c r="D437" s="23">
        <f>MINA(Tabell2[Beftettotal])</f>
        <v>0.29972992756000905</v>
      </c>
      <c r="E437" s="23">
        <f>MINA(Tabell2[Befvekst10])</f>
        <v>-0.21879936808846756</v>
      </c>
      <c r="F437" s="23">
        <f>MINA(Tabell2[Kvinneandel])</f>
        <v>7.460035523978685E-2</v>
      </c>
      <c r="G437" s="24">
        <f>MINA(Tabell2[Eldreandel])</f>
        <v>8.0172413793103442E-2</v>
      </c>
      <c r="H437" s="24">
        <f>MINA(Tabell2[Sysselsettingsvekst10])</f>
        <v>-0.30466472303206993</v>
      </c>
      <c r="I437" s="24">
        <f>MINA(Tabell2[Yrkesaktivandel])</f>
        <v>0.75830388692579509</v>
      </c>
      <c r="J437" s="24">
        <f>MINA(Tabell2[Inntekt])</f>
        <v>286000</v>
      </c>
      <c r="K437" s="25">
        <f>MINA(Tabell2[NIBR11-T])</f>
        <v>1</v>
      </c>
      <c r="L437" s="25">
        <f>MINA(Tabell2[ReisetidOslo-T])</f>
        <v>52.54</v>
      </c>
      <c r="M437" s="25">
        <f>MINA(Tabell2[Beftettotal-T])</f>
        <v>1.3297721240876861</v>
      </c>
      <c r="N437" s="25">
        <f>MINA(Tabell2[Befvekst10-T])</f>
        <v>-7.6196156394963507E-2</v>
      </c>
      <c r="O437" s="25">
        <f>MINA(Tabell2[Kvinneandel-T])</f>
        <v>9.0490197137593403E-2</v>
      </c>
      <c r="P437" s="28">
        <f>MINA(Tabell2[Eldreandel-T])</f>
        <v>0.12312339657223466</v>
      </c>
      <c r="Q437" s="28">
        <f>MINA(Tabell2[Sysselsettingsvekst10-T])</f>
        <v>-6.9733479337269061E-2</v>
      </c>
      <c r="R437" s="28">
        <f>MINA(Tabell2[Yrkesaktivandel-T])</f>
        <v>0.83197552842263423</v>
      </c>
      <c r="S437" s="28">
        <f>MINA(Tabell2[Inntekt-T])</f>
        <v>331640</v>
      </c>
      <c r="T437" s="28">
        <f>MINA(Tabell2[NIBR11-I])</f>
        <v>0</v>
      </c>
      <c r="U437" s="25">
        <f>MINA(Tabell2[ReisetidOslo-I])</f>
        <v>0</v>
      </c>
      <c r="V437" s="30"/>
      <c r="W437" s="30"/>
    </row>
    <row r="438" spans="1:23" x14ac:dyDescent="0.25">
      <c r="A438" s="8" t="s">
        <v>457</v>
      </c>
      <c r="B438" s="26">
        <f>AVERAGE(Tabell2[NIBR11])</f>
        <v>5.8901869158878508</v>
      </c>
      <c r="C438" s="23">
        <f>AVERAGE(Tabell2[ReisetidOslo])</f>
        <v>184.25514018691098</v>
      </c>
      <c r="D438" s="23">
        <f>AVERAGE(Tabell2[Beftettotal])</f>
        <v>55.752213046491143</v>
      </c>
      <c r="E438" s="23">
        <f>AVERAGE(Tabell2[Befvekst10])</f>
        <v>4.2714492368219691E-2</v>
      </c>
      <c r="F438" s="23">
        <f>AVERAGE(Tabell2[Kvinneandel])</f>
        <v>0.10878317188187453</v>
      </c>
      <c r="G438" s="24">
        <f>AVERAGE(Tabell2[Eldreandel])</f>
        <v>0.16880557682286174</v>
      </c>
      <c r="H438" s="24">
        <f>AVERAGE(Tabell2[Sysselsettingsvekst10])</f>
        <v>9.0973145439062042E-2</v>
      </c>
      <c r="I438" s="24">
        <f>AVERAGE(Tabell2[Yrkesaktivandel])</f>
        <v>0.89179670477082162</v>
      </c>
      <c r="J438" s="24">
        <f>AVERAGE(Tabell2[Inntekt])</f>
        <v>371027.80373831774</v>
      </c>
      <c r="K438" s="25">
        <f>AVERAGE(Tabell2[NIBR11-T])</f>
        <v>5.8901869158878508</v>
      </c>
      <c r="L438" s="25">
        <f>AVERAGE(Tabell2[ReisetidOslo-T])</f>
        <v>182.48700934579239</v>
      </c>
      <c r="M438" s="25">
        <f>AVERAGE(Tabell2[Beftettotal-T])</f>
        <v>29.874834110596986</v>
      </c>
      <c r="N438" s="25">
        <f>AVERAGE(Tabell2[Befvekst10-T])</f>
        <v>3.9060649926547709E-2</v>
      </c>
      <c r="O438" s="25">
        <f>AVERAGE(Tabell2[Kvinneandel-T])</f>
        <v>0.10856013062135397</v>
      </c>
      <c r="P438" s="28">
        <f>AVERAGE(Tabell2[Eldreandel-T])</f>
        <v>0.16855683358770299</v>
      </c>
      <c r="Q438" s="28">
        <f>AVERAGE(Tabell2[Sysselsettingsvekst10-T])</f>
        <v>8.7420635802927249E-2</v>
      </c>
      <c r="R438" s="28">
        <f>AVERAGE(Tabell2[Yrkesaktivandel-T])</f>
        <v>0.89198898989340036</v>
      </c>
      <c r="S438" s="28">
        <f>AVERAGE(Tabell2[Inntekt-T])</f>
        <v>368920.93457943923</v>
      </c>
      <c r="T438" s="28">
        <f>AVERAGE(Tabell2[NIBR11-I])</f>
        <v>51.098130841121495</v>
      </c>
      <c r="U438" s="25">
        <f>AVERAGE(Tabell2[ReisetidOslo-I])</f>
        <v>42.984858787958117</v>
      </c>
      <c r="V438" s="30"/>
      <c r="W438" s="30"/>
    </row>
    <row r="439" spans="1:23" x14ac:dyDescent="0.25">
      <c r="A439" s="8" t="s">
        <v>473</v>
      </c>
      <c r="B439" s="8">
        <f>B436-B437</f>
        <v>10</v>
      </c>
      <c r="C439" s="8">
        <f t="shared" ref="C439:U439" si="0">C436-C437</f>
        <v>397.59999999999997</v>
      </c>
      <c r="D439" s="8">
        <f t="shared" si="0"/>
        <v>1851.1648811446191</v>
      </c>
      <c r="E439" s="8">
        <f t="shared" ref="E439" si="1">E436-E437</f>
        <v>0.64984414420787051</v>
      </c>
      <c r="F439" s="8">
        <f t="shared" ref="F439" si="2">F436-F437</f>
        <v>0.10938670001623622</v>
      </c>
      <c r="G439" s="8">
        <f t="shared" si="0"/>
        <v>0.19508891024870842</v>
      </c>
      <c r="H439" s="8">
        <f t="shared" si="0"/>
        <v>1.1229449134807785</v>
      </c>
      <c r="I439" s="8">
        <f t="shared" si="0"/>
        <v>0.28677808028731977</v>
      </c>
      <c r="J439" s="8">
        <f t="shared" si="0"/>
        <v>262300</v>
      </c>
      <c r="K439" s="8">
        <f t="shared" si="0"/>
        <v>10</v>
      </c>
      <c r="L439" s="8">
        <f t="shared" si="0"/>
        <v>227.91666666669002</v>
      </c>
      <c r="M439" s="8">
        <f t="shared" si="0"/>
        <v>129.27065322392627</v>
      </c>
      <c r="N439" s="8">
        <f t="shared" si="0"/>
        <v>0.24836294408526771</v>
      </c>
      <c r="O439" s="8">
        <f t="shared" ref="O439" si="3">O436-O437</f>
        <v>3.7843217128141704E-2</v>
      </c>
      <c r="P439" s="8">
        <f t="shared" si="0"/>
        <v>9.1261531463241299E-2</v>
      </c>
      <c r="Q439" s="8">
        <f t="shared" si="0"/>
        <v>0.3360882434289475</v>
      </c>
      <c r="R439" s="8">
        <f t="shared" si="0"/>
        <v>0.13005731972842793</v>
      </c>
      <c r="S439" s="8">
        <f t="shared" si="0"/>
        <v>86140</v>
      </c>
      <c r="T439" s="8">
        <f t="shared" si="0"/>
        <v>100</v>
      </c>
      <c r="U439" s="8">
        <f t="shared" si="0"/>
        <v>100</v>
      </c>
    </row>
  </sheetData>
  <mergeCells count="16">
    <mergeCell ref="Z2:AA2"/>
    <mergeCell ref="AC2:AE2"/>
    <mergeCell ref="AF2:AH2"/>
    <mergeCell ref="AI2:AJ2"/>
    <mergeCell ref="B1:J1"/>
    <mergeCell ref="K1:S1"/>
    <mergeCell ref="T1:AB1"/>
    <mergeCell ref="AC1:AK1"/>
    <mergeCell ref="B2:D2"/>
    <mergeCell ref="E2:G2"/>
    <mergeCell ref="H2:I2"/>
    <mergeCell ref="K2:M2"/>
    <mergeCell ref="N2:P2"/>
    <mergeCell ref="Q2:R2"/>
    <mergeCell ref="T2:V2"/>
    <mergeCell ref="W2:Y2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N3" sqref="N3"/>
    </sheetView>
  </sheetViews>
  <sheetFormatPr baseColWidth="10" defaultRowHeight="15" x14ac:dyDescent="0.25"/>
  <cols>
    <col min="1" max="1" width="17.140625" bestFit="1" customWidth="1"/>
    <col min="2" max="2" width="7.7109375" bestFit="1" customWidth="1"/>
    <col min="3" max="3" width="8.28515625" bestFit="1" customWidth="1"/>
    <col min="4" max="4" width="14.42578125" bestFit="1" customWidth="1"/>
    <col min="5" max="5" width="10.7109375" bestFit="1" customWidth="1"/>
    <col min="6" max="6" width="12.140625" bestFit="1" customWidth="1"/>
    <col min="7" max="7" width="10.5703125" bestFit="1" customWidth="1"/>
    <col min="8" max="8" width="20.28515625" bestFit="1" customWidth="1"/>
    <col min="9" max="9" width="20.28515625" customWidth="1"/>
    <col min="10" max="10" width="15" bestFit="1" customWidth="1"/>
    <col min="11" max="11" width="15" customWidth="1"/>
    <col min="12" max="12" width="7.85546875" bestFit="1" customWidth="1"/>
    <col min="13" max="13" width="9.140625" bestFit="1" customWidth="1"/>
  </cols>
  <sheetData>
    <row r="1" spans="1:14" x14ac:dyDescent="0.25">
      <c r="A1" s="10" t="s">
        <v>448</v>
      </c>
      <c r="B1" s="88" t="s">
        <v>435</v>
      </c>
      <c r="C1" s="88"/>
      <c r="D1" s="88"/>
      <c r="E1" s="89" t="s">
        <v>445</v>
      </c>
      <c r="F1" s="89"/>
      <c r="G1" s="89"/>
      <c r="H1" s="90" t="s">
        <v>446</v>
      </c>
      <c r="I1" s="90"/>
      <c r="J1" s="90"/>
      <c r="K1" s="90"/>
      <c r="L1" s="19" t="s">
        <v>447</v>
      </c>
      <c r="M1" s="9"/>
      <c r="N1" t="s">
        <v>474</v>
      </c>
    </row>
    <row r="2" spans="1:14" x14ac:dyDescent="0.25">
      <c r="A2" s="10" t="s">
        <v>431</v>
      </c>
      <c r="B2" s="12" t="s">
        <v>430</v>
      </c>
      <c r="C2" s="12" t="s">
        <v>432</v>
      </c>
      <c r="D2" s="12" t="s">
        <v>437</v>
      </c>
      <c r="E2" s="14" t="s">
        <v>438</v>
      </c>
      <c r="F2" s="14" t="s">
        <v>439</v>
      </c>
      <c r="G2" s="14" t="s">
        <v>440</v>
      </c>
      <c r="H2" s="16" t="s">
        <v>441</v>
      </c>
      <c r="I2" s="16" t="s">
        <v>443</v>
      </c>
      <c r="J2" s="16" t="s">
        <v>442</v>
      </c>
      <c r="K2" s="16" t="s">
        <v>444</v>
      </c>
      <c r="L2" s="18" t="s">
        <v>433</v>
      </c>
      <c r="M2" s="10" t="s">
        <v>434</v>
      </c>
    </row>
    <row r="3" spans="1:14" x14ac:dyDescent="0.25">
      <c r="A3" s="10" t="s">
        <v>493</v>
      </c>
      <c r="B3" s="11">
        <v>0.2</v>
      </c>
      <c r="C3" s="11">
        <v>0.1</v>
      </c>
      <c r="D3" s="11">
        <v>0.1</v>
      </c>
      <c r="E3" s="13">
        <v>0.2</v>
      </c>
      <c r="F3" s="13">
        <v>0.05</v>
      </c>
      <c r="G3" s="13">
        <v>0.05</v>
      </c>
      <c r="H3" s="15">
        <v>0.1</v>
      </c>
      <c r="I3" s="15"/>
      <c r="J3" s="15">
        <v>0.1</v>
      </c>
      <c r="K3" s="15"/>
      <c r="L3" s="17">
        <v>0.1</v>
      </c>
      <c r="M3" s="9">
        <f>SUM(B3:L3)</f>
        <v>1.0000000000000002</v>
      </c>
      <c r="N3" t="s">
        <v>478</v>
      </c>
    </row>
  </sheetData>
  <mergeCells count="3">
    <mergeCell ref="B1:D1"/>
    <mergeCell ref="E1:G1"/>
    <mergeCell ref="H1:K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Rådata-K</vt:lpstr>
      <vt:lpstr>Arbeidsark-K</vt:lpstr>
      <vt:lpstr>Vekter</vt:lpstr>
    </vt:vector>
  </TitlesOfParts>
  <Company>STATEN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Martin Hasle Jensen</dc:creator>
  <cp:lastModifiedBy>Linda Sjåstad Andreassen</cp:lastModifiedBy>
  <cp:lastPrinted>2013-05-10T12:05:29Z</cp:lastPrinted>
  <dcterms:created xsi:type="dcterms:W3CDTF">2012-11-12T08:19:16Z</dcterms:created>
  <dcterms:modified xsi:type="dcterms:W3CDTF">2015-08-21T08:22:28Z</dcterms:modified>
</cp:coreProperties>
</file>